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mc:AlternateContent xmlns:mc="http://schemas.openxmlformats.org/markup-compatibility/2006">
    <mc:Choice Requires="x15">
      <x15ac:absPath xmlns:x15ac="http://schemas.microsoft.com/office/spreadsheetml/2010/11/ac" url="W:\Infrastruktur\2 Tsb\74000 Ålandstrafiken\Färjstatistik\Statistik gamla filer\"/>
    </mc:Choice>
  </mc:AlternateContent>
  <xr:revisionPtr revIDLastSave="0" documentId="8_{5352DD3C-F003-4451-A5DA-BA6C0FDC7D37}" xr6:coauthVersionLast="45" xr6:coauthVersionMax="45" xr10:uidLastSave="{00000000-0000-0000-0000-000000000000}"/>
  <bookViews>
    <workbookView xWindow="28680" yWindow="-120" windowWidth="29040" windowHeight="17640" tabRatio="795" firstSheet="5" activeTab="19" xr2:uid="{00000000-000D-0000-FFFF-FFFF00000000}"/>
  </bookViews>
  <sheets>
    <sheet name="Asterholma" sheetId="1" r:id="rId1"/>
    <sheet name="Björkö" sheetId="28" r:id="rId2"/>
    <sheet name="Brändö Kumlinge, ny Sep-19" sheetId="34" r:id="rId3"/>
    <sheet name="Brändö-Osnäs" sheetId="4" r:id="rId4"/>
    <sheet name="Embarsund" sheetId="29" r:id="rId5"/>
    <sheet name="Enklinge" sheetId="27" r:id="rId6"/>
    <sheet name="Föglö" sheetId="5" r:id="rId7"/>
    <sheet name=" Norra" sheetId="7" r:id="rId8"/>
    <sheet name="Seglinge" sheetId="30" r:id="rId9"/>
    <sheet name="Simskäla" sheetId="31" r:id="rId10"/>
    <sheet name=" Södra special" sheetId="11" r:id="rId11"/>
    <sheet name=" Södra tot." sheetId="12" r:id="rId12"/>
    <sheet name="Tvärgående" sheetId="8" r:id="rId13"/>
    <sheet name="Töftö" sheetId="32" r:id="rId14"/>
    <sheet name="Åva-Jurmo" sheetId="26" r:id="rId15"/>
    <sheet name="Ängösund" sheetId="33" r:id="rId16"/>
    <sheet name="Trafik per månad" sheetId="24" r:id="rId17"/>
    <sheet name="PassFord." sheetId="17" r:id="rId18"/>
    <sheet name="Olik. ford.typ." sheetId="18" r:id="rId19"/>
    <sheet name="Inres.Åland" sheetId="19" r:id="rId20"/>
  </sheets>
  <externalReferences>
    <externalReference r:id="rId21"/>
  </externalReferenc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03" i="19" l="1"/>
  <c r="D103" i="19"/>
  <c r="I101" i="19"/>
  <c r="I103" i="19" s="1"/>
  <c r="H101" i="19"/>
  <c r="E101" i="19"/>
  <c r="E103" i="19" s="1"/>
  <c r="D101" i="19"/>
  <c r="C101" i="19"/>
  <c r="C103" i="19" s="1"/>
  <c r="B101" i="19"/>
  <c r="B103" i="19" s="1"/>
  <c r="G100" i="19"/>
  <c r="K100" i="19" s="1"/>
  <c r="F100" i="19"/>
  <c r="J100" i="19" s="1"/>
  <c r="G99" i="19"/>
  <c r="K99" i="19" s="1"/>
  <c r="F99" i="19"/>
  <c r="J99" i="19" s="1"/>
  <c r="G98" i="19"/>
  <c r="K98" i="19" s="1"/>
  <c r="F98" i="19"/>
  <c r="J98" i="19" s="1"/>
  <c r="G97" i="19"/>
  <c r="K97" i="19" s="1"/>
  <c r="F97" i="19"/>
  <c r="J97" i="19" s="1"/>
  <c r="G96" i="19"/>
  <c r="K96" i="19" s="1"/>
  <c r="F96" i="19"/>
  <c r="J96" i="19" s="1"/>
  <c r="G95" i="19"/>
  <c r="K95" i="19" s="1"/>
  <c r="F95" i="19"/>
  <c r="J95" i="19" s="1"/>
  <c r="G94" i="19"/>
  <c r="K94" i="19" s="1"/>
  <c r="F94" i="19"/>
  <c r="J94" i="19" s="1"/>
  <c r="G93" i="19"/>
  <c r="K93" i="19" s="1"/>
  <c r="F93" i="19"/>
  <c r="J93" i="19" s="1"/>
  <c r="G92" i="19"/>
  <c r="K92" i="19" s="1"/>
  <c r="F92" i="19"/>
  <c r="J92" i="19" s="1"/>
  <c r="G91" i="19"/>
  <c r="K91" i="19" s="1"/>
  <c r="F91" i="19"/>
  <c r="J91" i="19" s="1"/>
  <c r="G90" i="19"/>
  <c r="K90" i="19" s="1"/>
  <c r="F90" i="19"/>
  <c r="J90" i="19" s="1"/>
  <c r="G89" i="19"/>
  <c r="K89" i="19" s="1"/>
  <c r="K101" i="19" s="1"/>
  <c r="K103" i="19" s="1"/>
  <c r="F89" i="19"/>
  <c r="J89" i="19" s="1"/>
  <c r="J101" i="19" s="1"/>
  <c r="J103" i="19" s="1"/>
  <c r="C75" i="19"/>
  <c r="C77" i="19" s="1"/>
  <c r="B75" i="19"/>
  <c r="B77" i="19" s="1"/>
  <c r="G74" i="19"/>
  <c r="K74" i="19" s="1"/>
  <c r="F74" i="19"/>
  <c r="J74" i="19" s="1"/>
  <c r="G73" i="19"/>
  <c r="K73" i="19" s="1"/>
  <c r="F73" i="19"/>
  <c r="J73" i="19" s="1"/>
  <c r="G72" i="19"/>
  <c r="K72" i="19" s="1"/>
  <c r="F72" i="19"/>
  <c r="J72" i="19" s="1"/>
  <c r="G71" i="19"/>
  <c r="K71" i="19" s="1"/>
  <c r="F71" i="19"/>
  <c r="J71" i="19" s="1"/>
  <c r="G70" i="19"/>
  <c r="K70" i="19" s="1"/>
  <c r="F70" i="19"/>
  <c r="J70" i="19" s="1"/>
  <c r="G69" i="19"/>
  <c r="K69" i="19" s="1"/>
  <c r="F69" i="19"/>
  <c r="J69" i="19" s="1"/>
  <c r="G68" i="19"/>
  <c r="K68" i="19" s="1"/>
  <c r="F68" i="19"/>
  <c r="J68" i="19" s="1"/>
  <c r="G67" i="19"/>
  <c r="K67" i="19" s="1"/>
  <c r="F67" i="19"/>
  <c r="J67" i="19" s="1"/>
  <c r="E67" i="19"/>
  <c r="E75" i="19" s="1"/>
  <c r="E77" i="19" s="1"/>
  <c r="D67" i="19"/>
  <c r="D75" i="19" s="1"/>
  <c r="D77" i="19" s="1"/>
  <c r="I66" i="19"/>
  <c r="I75" i="19" s="1"/>
  <c r="I77" i="19" s="1"/>
  <c r="H66" i="19"/>
  <c r="H75" i="19" s="1"/>
  <c r="H77" i="19" s="1"/>
  <c r="G66" i="19"/>
  <c r="K66" i="19" s="1"/>
  <c r="F66" i="19"/>
  <c r="J66" i="19" s="1"/>
  <c r="G65" i="19"/>
  <c r="K65" i="19" s="1"/>
  <c r="F65" i="19"/>
  <c r="J65" i="19" s="1"/>
  <c r="G64" i="19"/>
  <c r="K64" i="19" s="1"/>
  <c r="F64" i="19"/>
  <c r="J64" i="19" s="1"/>
  <c r="G63" i="19"/>
  <c r="K63" i="19" s="1"/>
  <c r="F63" i="19"/>
  <c r="F75" i="19" s="1"/>
  <c r="F77" i="19" s="1"/>
  <c r="C77" i="17"/>
  <c r="B77" i="17"/>
  <c r="E77" i="17"/>
  <c r="D77" i="17"/>
  <c r="G91" i="33"/>
  <c r="C91" i="33"/>
  <c r="H89" i="33"/>
  <c r="H91" i="33" s="1"/>
  <c r="G89" i="33"/>
  <c r="F89" i="33"/>
  <c r="F91" i="33" s="1"/>
  <c r="E89" i="33"/>
  <c r="E91" i="33" s="1"/>
  <c r="D89" i="33"/>
  <c r="D91" i="33" s="1"/>
  <c r="C89" i="33"/>
  <c r="B89" i="33"/>
  <c r="B91" i="33" s="1"/>
  <c r="N88" i="33"/>
  <c r="K88" i="33" s="1"/>
  <c r="J88" i="33"/>
  <c r="I88" i="33"/>
  <c r="O88" i="33" s="1"/>
  <c r="L88" i="33" s="1"/>
  <c r="N87" i="33"/>
  <c r="K87" i="33"/>
  <c r="J87" i="33"/>
  <c r="I87" i="33"/>
  <c r="O87" i="33" s="1"/>
  <c r="L87" i="33" s="1"/>
  <c r="N86" i="33"/>
  <c r="K86" i="33" s="1"/>
  <c r="J86" i="33"/>
  <c r="I86" i="33"/>
  <c r="O86" i="33" s="1"/>
  <c r="L86" i="33" s="1"/>
  <c r="N85" i="33"/>
  <c r="K85" i="33"/>
  <c r="J85" i="33"/>
  <c r="I85" i="33"/>
  <c r="O85" i="33" s="1"/>
  <c r="L85" i="33" s="1"/>
  <c r="N84" i="33"/>
  <c r="K84" i="33" s="1"/>
  <c r="J84" i="33"/>
  <c r="I84" i="33"/>
  <c r="O84" i="33" s="1"/>
  <c r="L84" i="33" s="1"/>
  <c r="N83" i="33"/>
  <c r="K83" i="33"/>
  <c r="J83" i="33"/>
  <c r="I83" i="33"/>
  <c r="O83" i="33" s="1"/>
  <c r="L83" i="33" s="1"/>
  <c r="N82" i="33"/>
  <c r="K82" i="33" s="1"/>
  <c r="J82" i="33"/>
  <c r="I82" i="33"/>
  <c r="O82" i="33" s="1"/>
  <c r="L82" i="33" s="1"/>
  <c r="N81" i="33"/>
  <c r="K81" i="33"/>
  <c r="J81" i="33"/>
  <c r="I81" i="33"/>
  <c r="O81" i="33" s="1"/>
  <c r="L81" i="33" s="1"/>
  <c r="N80" i="33"/>
  <c r="K80" i="33" s="1"/>
  <c r="J80" i="33"/>
  <c r="I80" i="33"/>
  <c r="O80" i="33" s="1"/>
  <c r="L80" i="33" s="1"/>
  <c r="N79" i="33"/>
  <c r="K79" i="33"/>
  <c r="J79" i="33"/>
  <c r="I79" i="33"/>
  <c r="O79" i="33" s="1"/>
  <c r="L79" i="33" s="1"/>
  <c r="N78" i="33"/>
  <c r="K78" i="33" s="1"/>
  <c r="J78" i="33"/>
  <c r="I78" i="33"/>
  <c r="O78" i="33" s="1"/>
  <c r="L78" i="33" s="1"/>
  <c r="N77" i="33"/>
  <c r="N89" i="33" s="1"/>
  <c r="K89" i="33" s="1"/>
  <c r="K77" i="33"/>
  <c r="J77" i="33"/>
  <c r="J89" i="33" s="1"/>
  <c r="J91" i="33" s="1"/>
  <c r="I77" i="33"/>
  <c r="O77" i="33" s="1"/>
  <c r="E69" i="33"/>
  <c r="R67" i="33"/>
  <c r="Q67" i="33"/>
  <c r="J67" i="33"/>
  <c r="J69" i="33" s="1"/>
  <c r="H67" i="33"/>
  <c r="H69" i="33" s="1"/>
  <c r="G67" i="33"/>
  <c r="G69" i="33" s="1"/>
  <c r="F67" i="33"/>
  <c r="F69" i="33" s="1"/>
  <c r="E67" i="33"/>
  <c r="D67" i="33"/>
  <c r="D69" i="33" s="1"/>
  <c r="C67" i="33"/>
  <c r="C69" i="33" s="1"/>
  <c r="B67" i="33"/>
  <c r="B69" i="33" s="1"/>
  <c r="N66" i="33"/>
  <c r="K66" i="33" s="1"/>
  <c r="I66" i="33"/>
  <c r="O66" i="33" s="1"/>
  <c r="L66" i="33" s="1"/>
  <c r="N65" i="33"/>
  <c r="K65" i="33" s="1"/>
  <c r="I65" i="33"/>
  <c r="O65" i="33" s="1"/>
  <c r="L65" i="33" s="1"/>
  <c r="N64" i="33"/>
  <c r="K64" i="33"/>
  <c r="I64" i="33"/>
  <c r="O64" i="33" s="1"/>
  <c r="L64" i="33" s="1"/>
  <c r="N63" i="33"/>
  <c r="K63" i="33"/>
  <c r="I63" i="33"/>
  <c r="O63" i="33" s="1"/>
  <c r="L63" i="33" s="1"/>
  <c r="N62" i="33"/>
  <c r="K62" i="33" s="1"/>
  <c r="I62" i="33"/>
  <c r="O62" i="33" s="1"/>
  <c r="L62" i="33" s="1"/>
  <c r="N61" i="33"/>
  <c r="K61" i="33" s="1"/>
  <c r="I61" i="33"/>
  <c r="O61" i="33" s="1"/>
  <c r="L61" i="33" s="1"/>
  <c r="N60" i="33"/>
  <c r="K60" i="33"/>
  <c r="I60" i="33"/>
  <c r="O60" i="33" s="1"/>
  <c r="L60" i="33" s="1"/>
  <c r="N59" i="33"/>
  <c r="K59" i="33"/>
  <c r="I59" i="33"/>
  <c r="O59" i="33" s="1"/>
  <c r="L59" i="33" s="1"/>
  <c r="N58" i="33"/>
  <c r="K58" i="33" s="1"/>
  <c r="I58" i="33"/>
  <c r="O58" i="33" s="1"/>
  <c r="L58" i="33" s="1"/>
  <c r="N57" i="33"/>
  <c r="K57" i="33" s="1"/>
  <c r="I57" i="33"/>
  <c r="O57" i="33" s="1"/>
  <c r="L57" i="33" s="1"/>
  <c r="N56" i="33"/>
  <c r="K56" i="33"/>
  <c r="I56" i="33"/>
  <c r="O56" i="33" s="1"/>
  <c r="L56" i="33" s="1"/>
  <c r="N55" i="33"/>
  <c r="N67" i="33" s="1"/>
  <c r="K67" i="33" s="1"/>
  <c r="K55" i="33"/>
  <c r="I55" i="33"/>
  <c r="O55" i="33" s="1"/>
  <c r="L94" i="26"/>
  <c r="H94" i="26"/>
  <c r="D94" i="26"/>
  <c r="Y92" i="26"/>
  <c r="X92" i="26"/>
  <c r="P92" i="26"/>
  <c r="P94" i="26" s="1"/>
  <c r="N92" i="26"/>
  <c r="M92" i="26"/>
  <c r="M94" i="26" s="1"/>
  <c r="L92" i="26"/>
  <c r="K92" i="26"/>
  <c r="K94" i="26" s="1"/>
  <c r="J92" i="26"/>
  <c r="J94" i="26" s="1"/>
  <c r="I92" i="26"/>
  <c r="I94" i="26" s="1"/>
  <c r="H92" i="26"/>
  <c r="G92" i="26"/>
  <c r="G94" i="26" s="1"/>
  <c r="F92" i="26"/>
  <c r="F94" i="26" s="1"/>
  <c r="E92" i="26"/>
  <c r="E94" i="26" s="1"/>
  <c r="D92" i="26"/>
  <c r="C92" i="26"/>
  <c r="C94" i="26" s="1"/>
  <c r="B92" i="26"/>
  <c r="B94" i="26" s="1"/>
  <c r="U91" i="26"/>
  <c r="Q91" i="26"/>
  <c r="O91" i="26"/>
  <c r="V91" i="26" s="1"/>
  <c r="R91" i="26" s="1"/>
  <c r="U90" i="26"/>
  <c r="Q90" i="26"/>
  <c r="O90" i="26"/>
  <c r="V90" i="26" s="1"/>
  <c r="R90" i="26" s="1"/>
  <c r="U89" i="26"/>
  <c r="Q89" i="26" s="1"/>
  <c r="O89" i="26"/>
  <c r="V89" i="26" s="1"/>
  <c r="R89" i="26" s="1"/>
  <c r="U88" i="26"/>
  <c r="Q88" i="26" s="1"/>
  <c r="O88" i="26"/>
  <c r="V88" i="26" s="1"/>
  <c r="R88" i="26" s="1"/>
  <c r="U87" i="26"/>
  <c r="Q87" i="26"/>
  <c r="O87" i="26"/>
  <c r="V87" i="26" s="1"/>
  <c r="R87" i="26" s="1"/>
  <c r="U86" i="26"/>
  <c r="Q86" i="26"/>
  <c r="O86" i="26"/>
  <c r="V86" i="26" s="1"/>
  <c r="R86" i="26" s="1"/>
  <c r="U85" i="26"/>
  <c r="Q85" i="26" s="1"/>
  <c r="O85" i="26"/>
  <c r="V85" i="26" s="1"/>
  <c r="R85" i="26" s="1"/>
  <c r="U84" i="26"/>
  <c r="Q84" i="26" s="1"/>
  <c r="O84" i="26"/>
  <c r="V84" i="26" s="1"/>
  <c r="R84" i="26" s="1"/>
  <c r="U83" i="26"/>
  <c r="Q83" i="26"/>
  <c r="O83" i="26"/>
  <c r="V83" i="26" s="1"/>
  <c r="R83" i="26" s="1"/>
  <c r="U82" i="26"/>
  <c r="Q82" i="26"/>
  <c r="O82" i="26"/>
  <c r="V82" i="26" s="1"/>
  <c r="R82" i="26" s="1"/>
  <c r="U81" i="26"/>
  <c r="Q81" i="26" s="1"/>
  <c r="O81" i="26"/>
  <c r="V81" i="26" s="1"/>
  <c r="R81" i="26" s="1"/>
  <c r="U80" i="26"/>
  <c r="U92" i="26" s="1"/>
  <c r="Q92" i="26" s="1"/>
  <c r="O80" i="26"/>
  <c r="V80" i="26" s="1"/>
  <c r="K73" i="26"/>
  <c r="G73" i="26"/>
  <c r="C73" i="26"/>
  <c r="Y71" i="26"/>
  <c r="X71" i="26"/>
  <c r="P71" i="26"/>
  <c r="P73" i="26" s="1"/>
  <c r="N71" i="26"/>
  <c r="M71" i="26"/>
  <c r="M73" i="26" s="1"/>
  <c r="L71" i="26"/>
  <c r="L73" i="26" s="1"/>
  <c r="K71" i="26"/>
  <c r="J71" i="26"/>
  <c r="J73" i="26" s="1"/>
  <c r="I71" i="26"/>
  <c r="I73" i="26" s="1"/>
  <c r="H71" i="26"/>
  <c r="H73" i="26" s="1"/>
  <c r="G71" i="26"/>
  <c r="F71" i="26"/>
  <c r="F73" i="26" s="1"/>
  <c r="E71" i="26"/>
  <c r="E73" i="26" s="1"/>
  <c r="D71" i="26"/>
  <c r="D73" i="26" s="1"/>
  <c r="C71" i="26"/>
  <c r="B71" i="26"/>
  <c r="B73" i="26" s="1"/>
  <c r="U70" i="26"/>
  <c r="Q70" i="26" s="1"/>
  <c r="O70" i="26"/>
  <c r="V70" i="26" s="1"/>
  <c r="R70" i="26" s="1"/>
  <c r="U69" i="26"/>
  <c r="Q69" i="26"/>
  <c r="O69" i="26"/>
  <c r="V69" i="26" s="1"/>
  <c r="R69" i="26" s="1"/>
  <c r="U68" i="26"/>
  <c r="Q68" i="26"/>
  <c r="O68" i="26"/>
  <c r="V68" i="26" s="1"/>
  <c r="R68" i="26" s="1"/>
  <c r="U67" i="26"/>
  <c r="Q67" i="26" s="1"/>
  <c r="O67" i="26"/>
  <c r="V67" i="26" s="1"/>
  <c r="R67" i="26" s="1"/>
  <c r="U66" i="26"/>
  <c r="Q66" i="26" s="1"/>
  <c r="O66" i="26"/>
  <c r="V66" i="26" s="1"/>
  <c r="R66" i="26" s="1"/>
  <c r="U65" i="26"/>
  <c r="Q65" i="26"/>
  <c r="O65" i="26"/>
  <c r="V65" i="26" s="1"/>
  <c r="R65" i="26" s="1"/>
  <c r="U64" i="26"/>
  <c r="Q64" i="26"/>
  <c r="O64" i="26"/>
  <c r="V64" i="26" s="1"/>
  <c r="R64" i="26" s="1"/>
  <c r="U63" i="26"/>
  <c r="Q63" i="26" s="1"/>
  <c r="O63" i="26"/>
  <c r="V63" i="26" s="1"/>
  <c r="R63" i="26" s="1"/>
  <c r="U62" i="26"/>
  <c r="Q62" i="26" s="1"/>
  <c r="O62" i="26"/>
  <c r="V62" i="26" s="1"/>
  <c r="R62" i="26" s="1"/>
  <c r="U61" i="26"/>
  <c r="Q61" i="26"/>
  <c r="O61" i="26"/>
  <c r="V61" i="26" s="1"/>
  <c r="R61" i="26" s="1"/>
  <c r="U60" i="26"/>
  <c r="Q60" i="26"/>
  <c r="O60" i="26"/>
  <c r="V60" i="26" s="1"/>
  <c r="R60" i="26" s="1"/>
  <c r="U59" i="26"/>
  <c r="U71" i="26" s="1"/>
  <c r="Q71" i="26" s="1"/>
  <c r="O59" i="26"/>
  <c r="O71" i="26" s="1"/>
  <c r="O73" i="26" s="1"/>
  <c r="H45" i="32"/>
  <c r="G45" i="32"/>
  <c r="D45" i="32"/>
  <c r="C45" i="32"/>
  <c r="J43" i="32"/>
  <c r="J45" i="32" s="1"/>
  <c r="H43" i="32"/>
  <c r="G43" i="32"/>
  <c r="F43" i="32"/>
  <c r="F45" i="32" s="1"/>
  <c r="E43" i="32"/>
  <c r="E45" i="32" s="1"/>
  <c r="D43" i="32"/>
  <c r="C43" i="32"/>
  <c r="B43" i="32"/>
  <c r="B45" i="32" s="1"/>
  <c r="I42" i="32"/>
  <c r="I41" i="32"/>
  <c r="I40" i="32"/>
  <c r="I39" i="32"/>
  <c r="I38" i="32"/>
  <c r="I37" i="32"/>
  <c r="I36" i="32"/>
  <c r="I35" i="32"/>
  <c r="I34" i="32"/>
  <c r="I33" i="32"/>
  <c r="I32" i="32"/>
  <c r="I31" i="32"/>
  <c r="I43" i="32" s="1"/>
  <c r="I45" i="32" s="1"/>
  <c r="L100" i="8"/>
  <c r="H100" i="8"/>
  <c r="D100" i="8"/>
  <c r="O98" i="8"/>
  <c r="O100" i="8" s="1"/>
  <c r="M98" i="8"/>
  <c r="M100" i="8" s="1"/>
  <c r="L98" i="8"/>
  <c r="K98" i="8"/>
  <c r="K100" i="8" s="1"/>
  <c r="J98" i="8"/>
  <c r="J100" i="8" s="1"/>
  <c r="I98" i="8"/>
  <c r="I100" i="8" s="1"/>
  <c r="H98" i="8"/>
  <c r="G98" i="8"/>
  <c r="G100" i="8" s="1"/>
  <c r="F98" i="8"/>
  <c r="F100" i="8" s="1"/>
  <c r="E98" i="8"/>
  <c r="E100" i="8" s="1"/>
  <c r="D98" i="8"/>
  <c r="C98" i="8"/>
  <c r="C100" i="8" s="1"/>
  <c r="B98" i="8"/>
  <c r="B100" i="8" s="1"/>
  <c r="S97" i="8"/>
  <c r="P97" i="8"/>
  <c r="N97" i="8"/>
  <c r="T97" i="8" s="1"/>
  <c r="Q97" i="8" s="1"/>
  <c r="S96" i="8"/>
  <c r="P96" i="8" s="1"/>
  <c r="N96" i="8"/>
  <c r="T96" i="8" s="1"/>
  <c r="Q96" i="8" s="1"/>
  <c r="S95" i="8"/>
  <c r="P95" i="8" s="1"/>
  <c r="N95" i="8"/>
  <c r="T95" i="8" s="1"/>
  <c r="Q95" i="8" s="1"/>
  <c r="S94" i="8"/>
  <c r="P94" i="8"/>
  <c r="N94" i="8"/>
  <c r="T94" i="8" s="1"/>
  <c r="Q94" i="8" s="1"/>
  <c r="S93" i="8"/>
  <c r="P93" i="8"/>
  <c r="N93" i="8"/>
  <c r="T93" i="8" s="1"/>
  <c r="Q93" i="8" s="1"/>
  <c r="S92" i="8"/>
  <c r="P92" i="8" s="1"/>
  <c r="N92" i="8"/>
  <c r="T92" i="8" s="1"/>
  <c r="Q92" i="8" s="1"/>
  <c r="S91" i="8"/>
  <c r="P91" i="8" s="1"/>
  <c r="N91" i="8"/>
  <c r="T91" i="8" s="1"/>
  <c r="Q91" i="8" s="1"/>
  <c r="S90" i="8"/>
  <c r="P90" i="8"/>
  <c r="N90" i="8"/>
  <c r="T90" i="8" s="1"/>
  <c r="Q90" i="8" s="1"/>
  <c r="S89" i="8"/>
  <c r="P89" i="8"/>
  <c r="N89" i="8"/>
  <c r="T89" i="8" s="1"/>
  <c r="Q89" i="8" s="1"/>
  <c r="S88" i="8"/>
  <c r="P88" i="8" s="1"/>
  <c r="N88" i="8"/>
  <c r="T88" i="8" s="1"/>
  <c r="Q88" i="8" s="1"/>
  <c r="S87" i="8"/>
  <c r="P87" i="8" s="1"/>
  <c r="N87" i="8"/>
  <c r="T87" i="8" s="1"/>
  <c r="Q87" i="8" s="1"/>
  <c r="S86" i="8"/>
  <c r="P86" i="8"/>
  <c r="N86" i="8"/>
  <c r="N98" i="8" s="1"/>
  <c r="N100" i="8" s="1"/>
  <c r="W76" i="8"/>
  <c r="V76" i="8"/>
  <c r="O76" i="8"/>
  <c r="O78" i="8" s="1"/>
  <c r="M76" i="8"/>
  <c r="M78" i="8" s="1"/>
  <c r="L76" i="8"/>
  <c r="L78" i="8" s="1"/>
  <c r="K76" i="8"/>
  <c r="K78" i="8" s="1"/>
  <c r="J76" i="8"/>
  <c r="J78" i="8" s="1"/>
  <c r="I76" i="8"/>
  <c r="I78" i="8" s="1"/>
  <c r="H76" i="8"/>
  <c r="H78" i="8" s="1"/>
  <c r="G76" i="8"/>
  <c r="G78" i="8" s="1"/>
  <c r="F76" i="8"/>
  <c r="F78" i="8" s="1"/>
  <c r="E76" i="8"/>
  <c r="E78" i="8" s="1"/>
  <c r="D76" i="8"/>
  <c r="D78" i="8" s="1"/>
  <c r="C76" i="8"/>
  <c r="C78" i="8" s="1"/>
  <c r="B76" i="8"/>
  <c r="B78" i="8" s="1"/>
  <c r="S75" i="8"/>
  <c r="P75" i="8" s="1"/>
  <c r="N75" i="8"/>
  <c r="T75" i="8" s="1"/>
  <c r="Q75" i="8" s="1"/>
  <c r="S74" i="8"/>
  <c r="P74" i="8" s="1"/>
  <c r="N74" i="8"/>
  <c r="T74" i="8" s="1"/>
  <c r="Q74" i="8" s="1"/>
  <c r="S73" i="8"/>
  <c r="P73" i="8"/>
  <c r="N73" i="8"/>
  <c r="T73" i="8" s="1"/>
  <c r="Q73" i="8" s="1"/>
  <c r="S72" i="8"/>
  <c r="P72" i="8"/>
  <c r="N72" i="8"/>
  <c r="T72" i="8" s="1"/>
  <c r="Q72" i="8" s="1"/>
  <c r="S71" i="8"/>
  <c r="P71" i="8" s="1"/>
  <c r="N71" i="8"/>
  <c r="T71" i="8" s="1"/>
  <c r="Q71" i="8" s="1"/>
  <c r="S70" i="8"/>
  <c r="P70" i="8" s="1"/>
  <c r="N70" i="8"/>
  <c r="T70" i="8" s="1"/>
  <c r="Q70" i="8" s="1"/>
  <c r="S69" i="8"/>
  <c r="P69" i="8"/>
  <c r="N69" i="8"/>
  <c r="T69" i="8" s="1"/>
  <c r="Q69" i="8" s="1"/>
  <c r="S68" i="8"/>
  <c r="P68" i="8"/>
  <c r="N68" i="8"/>
  <c r="T68" i="8" s="1"/>
  <c r="Q68" i="8" s="1"/>
  <c r="S67" i="8"/>
  <c r="P67" i="8" s="1"/>
  <c r="N67" i="8"/>
  <c r="T67" i="8" s="1"/>
  <c r="Q67" i="8" s="1"/>
  <c r="S66" i="8"/>
  <c r="P66" i="8"/>
  <c r="N66" i="8"/>
  <c r="T66" i="8" s="1"/>
  <c r="Q66" i="8" s="1"/>
  <c r="S65" i="8"/>
  <c r="P65" i="8"/>
  <c r="N65" i="8"/>
  <c r="T65" i="8" s="1"/>
  <c r="Q65" i="8" s="1"/>
  <c r="S64" i="8"/>
  <c r="S76" i="8" s="1"/>
  <c r="P76" i="8" s="1"/>
  <c r="P64" i="8"/>
  <c r="N64" i="8"/>
  <c r="T64" i="8" s="1"/>
  <c r="W94" i="12"/>
  <c r="V94" i="12"/>
  <c r="O93" i="12"/>
  <c r="M93" i="12"/>
  <c r="L93" i="12"/>
  <c r="K93" i="12"/>
  <c r="J93" i="12"/>
  <c r="I93" i="12"/>
  <c r="H93" i="12"/>
  <c r="G93" i="12"/>
  <c r="F93" i="12"/>
  <c r="E93" i="12"/>
  <c r="D93" i="12"/>
  <c r="C93" i="12"/>
  <c r="N93" i="12" s="1"/>
  <c r="T93" i="12" s="1"/>
  <c r="Q93" i="12" s="1"/>
  <c r="B93" i="12"/>
  <c r="S93" i="12" s="1"/>
  <c r="P93" i="12" s="1"/>
  <c r="O92" i="12"/>
  <c r="M92" i="12"/>
  <c r="L92" i="12"/>
  <c r="K92" i="12"/>
  <c r="J92" i="12"/>
  <c r="I92" i="12"/>
  <c r="H92" i="12"/>
  <c r="G92" i="12"/>
  <c r="F92" i="12"/>
  <c r="N92" i="12" s="1"/>
  <c r="T92" i="12" s="1"/>
  <c r="Q92" i="12" s="1"/>
  <c r="E92" i="12"/>
  <c r="D92" i="12"/>
  <c r="C92" i="12"/>
  <c r="B92" i="12"/>
  <c r="S92" i="12" s="1"/>
  <c r="P92" i="12" s="1"/>
  <c r="O91" i="12"/>
  <c r="M91" i="12"/>
  <c r="L91" i="12"/>
  <c r="K91" i="12"/>
  <c r="J91" i="12"/>
  <c r="I91" i="12"/>
  <c r="H91" i="12"/>
  <c r="G91" i="12"/>
  <c r="F91" i="12"/>
  <c r="E91" i="12"/>
  <c r="D91" i="12"/>
  <c r="C91" i="12"/>
  <c r="N91" i="12" s="1"/>
  <c r="T91" i="12" s="1"/>
  <c r="Q91" i="12" s="1"/>
  <c r="B91" i="12"/>
  <c r="S91" i="12" s="1"/>
  <c r="P91" i="12" s="1"/>
  <c r="O90" i="12"/>
  <c r="M90" i="12"/>
  <c r="L90" i="12"/>
  <c r="K90" i="12"/>
  <c r="J90" i="12"/>
  <c r="I90" i="12"/>
  <c r="H90" i="12"/>
  <c r="G90" i="12"/>
  <c r="F90" i="12"/>
  <c r="N90" i="12" s="1"/>
  <c r="T90" i="12" s="1"/>
  <c r="Q90" i="12" s="1"/>
  <c r="E90" i="12"/>
  <c r="D90" i="12"/>
  <c r="C90" i="12"/>
  <c r="B90" i="12"/>
  <c r="S90" i="12" s="1"/>
  <c r="P90" i="12" s="1"/>
  <c r="O89" i="12"/>
  <c r="M89" i="12"/>
  <c r="L89" i="12"/>
  <c r="K89" i="12"/>
  <c r="J89" i="12"/>
  <c r="I89" i="12"/>
  <c r="H89" i="12"/>
  <c r="G89" i="12"/>
  <c r="F89" i="12"/>
  <c r="E89" i="12"/>
  <c r="D89" i="12"/>
  <c r="C89" i="12"/>
  <c r="N89" i="12" s="1"/>
  <c r="T89" i="12" s="1"/>
  <c r="Q89" i="12" s="1"/>
  <c r="B89" i="12"/>
  <c r="S89" i="12" s="1"/>
  <c r="P89" i="12" s="1"/>
  <c r="O88" i="12"/>
  <c r="M88" i="12"/>
  <c r="L88" i="12"/>
  <c r="K88" i="12"/>
  <c r="J88" i="12"/>
  <c r="I88" i="12"/>
  <c r="H88" i="12"/>
  <c r="G88" i="12"/>
  <c r="F88" i="12"/>
  <c r="N88" i="12" s="1"/>
  <c r="T88" i="12" s="1"/>
  <c r="Q88" i="12" s="1"/>
  <c r="E88" i="12"/>
  <c r="D88" i="12"/>
  <c r="C88" i="12"/>
  <c r="B88" i="12"/>
  <c r="S88" i="12" s="1"/>
  <c r="P88" i="12" s="1"/>
  <c r="O87" i="12"/>
  <c r="M87" i="12"/>
  <c r="L87" i="12"/>
  <c r="K87" i="12"/>
  <c r="J87" i="12"/>
  <c r="I87" i="12"/>
  <c r="H87" i="12"/>
  <c r="G87" i="12"/>
  <c r="F87" i="12"/>
  <c r="E87" i="12"/>
  <c r="D87" i="12"/>
  <c r="C87" i="12"/>
  <c r="N87" i="12" s="1"/>
  <c r="T87" i="12" s="1"/>
  <c r="Q87" i="12" s="1"/>
  <c r="B87" i="12"/>
  <c r="S87" i="12" s="1"/>
  <c r="P87" i="12" s="1"/>
  <c r="O86" i="12"/>
  <c r="M86" i="12"/>
  <c r="L86" i="12"/>
  <c r="K86" i="12"/>
  <c r="J86" i="12"/>
  <c r="I86" i="12"/>
  <c r="H86" i="12"/>
  <c r="G86" i="12"/>
  <c r="F86" i="12"/>
  <c r="N86" i="12" s="1"/>
  <c r="T86" i="12" s="1"/>
  <c r="Q86" i="12" s="1"/>
  <c r="E86" i="12"/>
  <c r="D86" i="12"/>
  <c r="C86" i="12"/>
  <c r="B86" i="12"/>
  <c r="S86" i="12" s="1"/>
  <c r="P86" i="12" s="1"/>
  <c r="O85" i="12"/>
  <c r="M85" i="12"/>
  <c r="L85" i="12"/>
  <c r="K85" i="12"/>
  <c r="J85" i="12"/>
  <c r="I85" i="12"/>
  <c r="H85" i="12"/>
  <c r="G85" i="12"/>
  <c r="F85" i="12"/>
  <c r="E85" i="12"/>
  <c r="D85" i="12"/>
  <c r="C85" i="12"/>
  <c r="N85" i="12" s="1"/>
  <c r="T85" i="12" s="1"/>
  <c r="Q85" i="12" s="1"/>
  <c r="B85" i="12"/>
  <c r="S85" i="12" s="1"/>
  <c r="P85" i="12" s="1"/>
  <c r="O84" i="12"/>
  <c r="M84" i="12"/>
  <c r="L84" i="12"/>
  <c r="K84" i="12"/>
  <c r="J84" i="12"/>
  <c r="J95" i="12" s="1"/>
  <c r="I84" i="12"/>
  <c r="H84" i="12"/>
  <c r="G84" i="12"/>
  <c r="F84" i="12"/>
  <c r="F95" i="12" s="1"/>
  <c r="E84" i="12"/>
  <c r="D84" i="12"/>
  <c r="C84" i="12"/>
  <c r="B84" i="12"/>
  <c r="O83" i="12"/>
  <c r="M83" i="12"/>
  <c r="L83" i="12"/>
  <c r="K83" i="12"/>
  <c r="K95" i="12" s="1"/>
  <c r="J83" i="12"/>
  <c r="I83" i="12"/>
  <c r="H83" i="12"/>
  <c r="G83" i="12"/>
  <c r="G95" i="12" s="1"/>
  <c r="F83" i="12"/>
  <c r="E83" i="12"/>
  <c r="D83" i="12"/>
  <c r="C83" i="12"/>
  <c r="N83" i="12" s="1"/>
  <c r="B83" i="12"/>
  <c r="S83" i="12" s="1"/>
  <c r="P83" i="12" s="1"/>
  <c r="O82" i="12"/>
  <c r="O94" i="12" s="1"/>
  <c r="M82" i="12"/>
  <c r="M94" i="12" s="1"/>
  <c r="L82" i="12"/>
  <c r="L94" i="12" s="1"/>
  <c r="K82" i="12"/>
  <c r="K94" i="12" s="1"/>
  <c r="J82" i="12"/>
  <c r="J94" i="12" s="1"/>
  <c r="I82" i="12"/>
  <c r="I94" i="12" s="1"/>
  <c r="H82" i="12"/>
  <c r="H94" i="12" s="1"/>
  <c r="G82" i="12"/>
  <c r="G94" i="12" s="1"/>
  <c r="F82" i="12"/>
  <c r="F94" i="12" s="1"/>
  <c r="E82" i="12"/>
  <c r="E94" i="12" s="1"/>
  <c r="D82" i="12"/>
  <c r="D94" i="12" s="1"/>
  <c r="C82" i="12"/>
  <c r="C94" i="12" s="1"/>
  <c r="B82" i="12"/>
  <c r="S82" i="12" s="1"/>
  <c r="W73" i="12"/>
  <c r="V73" i="12"/>
  <c r="O72" i="12"/>
  <c r="M72" i="12"/>
  <c r="L72" i="12"/>
  <c r="K72" i="12"/>
  <c r="J72" i="12"/>
  <c r="I72" i="12"/>
  <c r="H72" i="12"/>
  <c r="G72" i="12"/>
  <c r="F72" i="12"/>
  <c r="N72" i="12" s="1"/>
  <c r="T72" i="12" s="1"/>
  <c r="Q72" i="12" s="1"/>
  <c r="E72" i="12"/>
  <c r="D72" i="12"/>
  <c r="C72" i="12"/>
  <c r="B72" i="12"/>
  <c r="S72" i="12" s="1"/>
  <c r="P72" i="12" s="1"/>
  <c r="O71" i="12"/>
  <c r="M71" i="12"/>
  <c r="L71" i="12"/>
  <c r="K71" i="12"/>
  <c r="J71" i="12"/>
  <c r="I71" i="12"/>
  <c r="H71" i="12"/>
  <c r="G71" i="12"/>
  <c r="F71" i="12"/>
  <c r="E71" i="12"/>
  <c r="D71" i="12"/>
  <c r="C71" i="12"/>
  <c r="B71" i="12"/>
  <c r="S71" i="12" s="1"/>
  <c r="P71" i="12" s="1"/>
  <c r="S70" i="12"/>
  <c r="P70" i="12" s="1"/>
  <c r="O70" i="12"/>
  <c r="M70" i="12"/>
  <c r="L70" i="12"/>
  <c r="K70" i="12"/>
  <c r="J70" i="12"/>
  <c r="I70" i="12"/>
  <c r="H70" i="12"/>
  <c r="G70" i="12"/>
  <c r="F70" i="12"/>
  <c r="N70" i="12" s="1"/>
  <c r="T70" i="12" s="1"/>
  <c r="Q70" i="12" s="1"/>
  <c r="E70" i="12"/>
  <c r="D70" i="12"/>
  <c r="C70" i="12"/>
  <c r="B70" i="12"/>
  <c r="O69" i="12"/>
  <c r="M69" i="12"/>
  <c r="L69" i="12"/>
  <c r="K69" i="12"/>
  <c r="J69" i="12"/>
  <c r="I69" i="12"/>
  <c r="H69" i="12"/>
  <c r="G69" i="12"/>
  <c r="F69" i="12"/>
  <c r="E69" i="12"/>
  <c r="D69" i="12"/>
  <c r="C69" i="12"/>
  <c r="N69" i="12" s="1"/>
  <c r="T69" i="12" s="1"/>
  <c r="Q69" i="12" s="1"/>
  <c r="B69" i="12"/>
  <c r="S69" i="12" s="1"/>
  <c r="P69" i="12" s="1"/>
  <c r="S68" i="12"/>
  <c r="P68" i="12" s="1"/>
  <c r="O68" i="12"/>
  <c r="M68" i="12"/>
  <c r="L68" i="12"/>
  <c r="K68" i="12"/>
  <c r="J68" i="12"/>
  <c r="I68" i="12"/>
  <c r="H68" i="12"/>
  <c r="G68" i="12"/>
  <c r="F68" i="12"/>
  <c r="N68" i="12" s="1"/>
  <c r="T68" i="12" s="1"/>
  <c r="Q68" i="12" s="1"/>
  <c r="E68" i="12"/>
  <c r="D68" i="12"/>
  <c r="C68" i="12"/>
  <c r="B68" i="12"/>
  <c r="O67" i="12"/>
  <c r="M67" i="12"/>
  <c r="L67" i="12"/>
  <c r="K67" i="12"/>
  <c r="J67" i="12"/>
  <c r="I67" i="12"/>
  <c r="H67" i="12"/>
  <c r="G67" i="12"/>
  <c r="F67" i="12"/>
  <c r="E67" i="12"/>
  <c r="D67" i="12"/>
  <c r="C67" i="12"/>
  <c r="N67" i="12" s="1"/>
  <c r="T67" i="12" s="1"/>
  <c r="Q67" i="12" s="1"/>
  <c r="B67" i="12"/>
  <c r="S67" i="12" s="1"/>
  <c r="P67" i="12" s="1"/>
  <c r="O66" i="12"/>
  <c r="M66" i="12"/>
  <c r="L66" i="12"/>
  <c r="K66" i="12"/>
  <c r="J66" i="12"/>
  <c r="I66" i="12"/>
  <c r="H66" i="12"/>
  <c r="G66" i="12"/>
  <c r="F66" i="12"/>
  <c r="N66" i="12" s="1"/>
  <c r="T66" i="12" s="1"/>
  <c r="Q66" i="12" s="1"/>
  <c r="E66" i="12"/>
  <c r="D66" i="12"/>
  <c r="C66" i="12"/>
  <c r="B66" i="12"/>
  <c r="S66" i="12" s="1"/>
  <c r="P66" i="12" s="1"/>
  <c r="P65" i="12"/>
  <c r="O65" i="12"/>
  <c r="M65" i="12"/>
  <c r="L65" i="12"/>
  <c r="K65" i="12"/>
  <c r="J65" i="12"/>
  <c r="I65" i="12"/>
  <c r="H65" i="12"/>
  <c r="G65" i="12"/>
  <c r="F65" i="12"/>
  <c r="E65" i="12"/>
  <c r="D65" i="12"/>
  <c r="C65" i="12"/>
  <c r="N65" i="12" s="1"/>
  <c r="T65" i="12" s="1"/>
  <c r="Q65" i="12" s="1"/>
  <c r="B65" i="12"/>
  <c r="S65" i="12" s="1"/>
  <c r="O64" i="12"/>
  <c r="M64" i="12"/>
  <c r="L64" i="12"/>
  <c r="K64" i="12"/>
  <c r="J64" i="12"/>
  <c r="I64" i="12"/>
  <c r="H64" i="12"/>
  <c r="G64" i="12"/>
  <c r="F64" i="12"/>
  <c r="N64" i="12" s="1"/>
  <c r="T64" i="12" s="1"/>
  <c r="Q64" i="12" s="1"/>
  <c r="E64" i="12"/>
  <c r="D64" i="12"/>
  <c r="C64" i="12"/>
  <c r="B64" i="12"/>
  <c r="S64" i="12" s="1"/>
  <c r="P64" i="12" s="1"/>
  <c r="O63" i="12"/>
  <c r="M63" i="12"/>
  <c r="L63" i="12"/>
  <c r="K63" i="12"/>
  <c r="J63" i="12"/>
  <c r="I63" i="12"/>
  <c r="H63" i="12"/>
  <c r="G63" i="12"/>
  <c r="F63" i="12"/>
  <c r="E63" i="12"/>
  <c r="D63" i="12"/>
  <c r="C63" i="12"/>
  <c r="B63" i="12"/>
  <c r="S63" i="12" s="1"/>
  <c r="P63" i="12" s="1"/>
  <c r="S62" i="12"/>
  <c r="P62" i="12" s="1"/>
  <c r="O62" i="12"/>
  <c r="M62" i="12"/>
  <c r="L62" i="12"/>
  <c r="K62" i="12"/>
  <c r="J62" i="12"/>
  <c r="I62" i="12"/>
  <c r="H62" i="12"/>
  <c r="G62" i="12"/>
  <c r="F62" i="12"/>
  <c r="N62" i="12" s="1"/>
  <c r="T62" i="12" s="1"/>
  <c r="Q62" i="12" s="1"/>
  <c r="E62" i="12"/>
  <c r="D62" i="12"/>
  <c r="C62" i="12"/>
  <c r="B62" i="12"/>
  <c r="O61" i="12"/>
  <c r="O73" i="12" s="1"/>
  <c r="O75" i="12" s="1"/>
  <c r="M61" i="12"/>
  <c r="M73" i="12" s="1"/>
  <c r="M75" i="12" s="1"/>
  <c r="L61" i="12"/>
  <c r="K61" i="12"/>
  <c r="K73" i="12" s="1"/>
  <c r="K75" i="12" s="1"/>
  <c r="J61" i="12"/>
  <c r="I61" i="12"/>
  <c r="I73" i="12" s="1"/>
  <c r="I75" i="12" s="1"/>
  <c r="H61" i="12"/>
  <c r="G61" i="12"/>
  <c r="G73" i="12" s="1"/>
  <c r="G75" i="12" s="1"/>
  <c r="F61" i="12"/>
  <c r="E61" i="12"/>
  <c r="E73" i="12" s="1"/>
  <c r="E75" i="12" s="1"/>
  <c r="D61" i="12"/>
  <c r="D73" i="12" s="1"/>
  <c r="D75" i="12" s="1"/>
  <c r="C61" i="12"/>
  <c r="C73" i="12" s="1"/>
  <c r="C75" i="12" s="1"/>
  <c r="B61" i="12"/>
  <c r="W233" i="11"/>
  <c r="V233" i="11"/>
  <c r="M233" i="11"/>
  <c r="M235" i="11" s="1"/>
  <c r="L233" i="11"/>
  <c r="L235" i="11" s="1"/>
  <c r="K233" i="11"/>
  <c r="K235" i="11" s="1"/>
  <c r="J233" i="11"/>
  <c r="J235" i="11" s="1"/>
  <c r="I233" i="11"/>
  <c r="I235" i="11" s="1"/>
  <c r="H233" i="11"/>
  <c r="H235" i="11" s="1"/>
  <c r="G233" i="11"/>
  <c r="G235" i="11" s="1"/>
  <c r="F233" i="11"/>
  <c r="F235" i="11" s="1"/>
  <c r="E233" i="11"/>
  <c r="E235" i="11" s="1"/>
  <c r="D233" i="11"/>
  <c r="D235" i="11" s="1"/>
  <c r="C233" i="11"/>
  <c r="C235" i="11" s="1"/>
  <c r="B233" i="11"/>
  <c r="B235" i="11" s="1"/>
  <c r="S232" i="11"/>
  <c r="P232" i="11" s="1"/>
  <c r="O232" i="11"/>
  <c r="N232" i="11"/>
  <c r="T232" i="11" s="1"/>
  <c r="Q232" i="11" s="1"/>
  <c r="S231" i="11"/>
  <c r="P231" i="11" s="1"/>
  <c r="O231" i="11"/>
  <c r="N231" i="11"/>
  <c r="T231" i="11" s="1"/>
  <c r="Q231" i="11" s="1"/>
  <c r="S230" i="11"/>
  <c r="P230" i="11" s="1"/>
  <c r="O230" i="11"/>
  <c r="N230" i="11"/>
  <c r="T230" i="11" s="1"/>
  <c r="Q230" i="11" s="1"/>
  <c r="S229" i="11"/>
  <c r="P229" i="11"/>
  <c r="O229" i="11"/>
  <c r="N229" i="11"/>
  <c r="T229" i="11" s="1"/>
  <c r="Q229" i="11" s="1"/>
  <c r="S228" i="11"/>
  <c r="P228" i="11" s="1"/>
  <c r="O228" i="11"/>
  <c r="N228" i="11"/>
  <c r="T228" i="11" s="1"/>
  <c r="Q228" i="11" s="1"/>
  <c r="S227" i="11"/>
  <c r="P227" i="11"/>
  <c r="O227" i="11"/>
  <c r="N227" i="11"/>
  <c r="T227" i="11" s="1"/>
  <c r="Q227" i="11" s="1"/>
  <c r="S226" i="11"/>
  <c r="P226" i="11" s="1"/>
  <c r="O226" i="11"/>
  <c r="N226" i="11"/>
  <c r="T226" i="11" s="1"/>
  <c r="Q226" i="11" s="1"/>
  <c r="S225" i="11"/>
  <c r="P225" i="11"/>
  <c r="O225" i="11"/>
  <c r="N225" i="11"/>
  <c r="T225" i="11" s="1"/>
  <c r="Q225" i="11" s="1"/>
  <c r="S224" i="11"/>
  <c r="P224" i="11" s="1"/>
  <c r="O224" i="11"/>
  <c r="N224" i="11"/>
  <c r="T224" i="11" s="1"/>
  <c r="Q224" i="11" s="1"/>
  <c r="S223" i="11"/>
  <c r="P223" i="11"/>
  <c r="N223" i="11"/>
  <c r="T223" i="11" s="1"/>
  <c r="Q223" i="11" s="1"/>
  <c r="T222" i="11"/>
  <c r="S222" i="11"/>
  <c r="Q222" i="11"/>
  <c r="P222" i="11"/>
  <c r="O222" i="11"/>
  <c r="N222" i="11"/>
  <c r="T221" i="11"/>
  <c r="S221" i="11"/>
  <c r="S233" i="11" s="1"/>
  <c r="P233" i="11" s="1"/>
  <c r="Q221" i="11"/>
  <c r="O221" i="11"/>
  <c r="O233" i="11" s="1"/>
  <c r="O235" i="11" s="1"/>
  <c r="N221" i="11"/>
  <c r="N233" i="11" s="1"/>
  <c r="N235" i="11" s="1"/>
  <c r="K214" i="11"/>
  <c r="C214" i="11"/>
  <c r="W212" i="11"/>
  <c r="V212" i="11"/>
  <c r="M212" i="11"/>
  <c r="M214" i="11" s="1"/>
  <c r="L212" i="11"/>
  <c r="L214" i="11" s="1"/>
  <c r="K212" i="11"/>
  <c r="J212" i="11"/>
  <c r="J214" i="11" s="1"/>
  <c r="I212" i="11"/>
  <c r="I214" i="11" s="1"/>
  <c r="H212" i="11"/>
  <c r="H214" i="11" s="1"/>
  <c r="G212" i="11"/>
  <c r="G214" i="11" s="1"/>
  <c r="E212" i="11"/>
  <c r="E214" i="11" s="1"/>
  <c r="C212" i="11"/>
  <c r="S211" i="11"/>
  <c r="P211" i="11" s="1"/>
  <c r="N211" i="11"/>
  <c r="T211" i="11" s="1"/>
  <c r="Q211" i="11" s="1"/>
  <c r="S210" i="11"/>
  <c r="P210" i="11" s="1"/>
  <c r="N210" i="11"/>
  <c r="T210" i="11" s="1"/>
  <c r="Q210" i="11" s="1"/>
  <c r="S209" i="11"/>
  <c r="P209" i="11"/>
  <c r="N209" i="11"/>
  <c r="T209" i="11" s="1"/>
  <c r="Q209" i="11" s="1"/>
  <c r="S208" i="11"/>
  <c r="P208" i="11"/>
  <c r="N208" i="11"/>
  <c r="T208" i="11" s="1"/>
  <c r="Q208" i="11" s="1"/>
  <c r="S207" i="11"/>
  <c r="P207" i="11" s="1"/>
  <c r="N207" i="11"/>
  <c r="T207" i="11" s="1"/>
  <c r="Q207" i="11" s="1"/>
  <c r="S206" i="11"/>
  <c r="P206" i="11" s="1"/>
  <c r="O206" i="11"/>
  <c r="N206" i="11"/>
  <c r="T206" i="11" s="1"/>
  <c r="Q206" i="11" s="1"/>
  <c r="S205" i="11"/>
  <c r="P205" i="11" s="1"/>
  <c r="O205" i="11"/>
  <c r="N205" i="11"/>
  <c r="T205" i="11" s="1"/>
  <c r="Q205" i="11" s="1"/>
  <c r="S204" i="11"/>
  <c r="P204" i="11" s="1"/>
  <c r="O204" i="11"/>
  <c r="N204" i="11"/>
  <c r="T204" i="11" s="1"/>
  <c r="Q204" i="11" s="1"/>
  <c r="S203" i="11"/>
  <c r="P203" i="11" s="1"/>
  <c r="O203" i="11"/>
  <c r="N203" i="11"/>
  <c r="T203" i="11" s="1"/>
  <c r="Q203" i="11" s="1"/>
  <c r="O202" i="11"/>
  <c r="N202" i="11"/>
  <c r="T202" i="11" s="1"/>
  <c r="Q202" i="11" s="1"/>
  <c r="F202" i="11"/>
  <c r="F212" i="11" s="1"/>
  <c r="F214" i="11" s="1"/>
  <c r="D202" i="11"/>
  <c r="D212" i="11" s="1"/>
  <c r="D214" i="11" s="1"/>
  <c r="C202" i="11"/>
  <c r="B202" i="11"/>
  <c r="B212" i="11" s="1"/>
  <c r="B214" i="11" s="1"/>
  <c r="S201" i="11"/>
  <c r="P201" i="11" s="1"/>
  <c r="N201" i="11"/>
  <c r="T201" i="11" s="1"/>
  <c r="Q201" i="11" s="1"/>
  <c r="T200" i="11"/>
  <c r="S200" i="11"/>
  <c r="O200" i="11"/>
  <c r="O212" i="11" s="1"/>
  <c r="O214" i="11" s="1"/>
  <c r="N200" i="11"/>
  <c r="I193" i="11"/>
  <c r="W191" i="11"/>
  <c r="V191" i="11"/>
  <c r="O191" i="11"/>
  <c r="O193" i="11" s="1"/>
  <c r="M191" i="11"/>
  <c r="M193" i="11" s="1"/>
  <c r="L191" i="11"/>
  <c r="L193" i="11" s="1"/>
  <c r="K191" i="11"/>
  <c r="K193" i="11" s="1"/>
  <c r="J191" i="11"/>
  <c r="J193" i="11" s="1"/>
  <c r="I191" i="11"/>
  <c r="H191" i="11"/>
  <c r="H193" i="11" s="1"/>
  <c r="G191" i="11"/>
  <c r="G193" i="11" s="1"/>
  <c r="F191" i="11"/>
  <c r="F193" i="11" s="1"/>
  <c r="E191" i="11"/>
  <c r="E193" i="11" s="1"/>
  <c r="D191" i="11"/>
  <c r="D193" i="11" s="1"/>
  <c r="C191" i="11"/>
  <c r="C193" i="11" s="1"/>
  <c r="B191" i="11"/>
  <c r="B193" i="11" s="1"/>
  <c r="N190" i="11"/>
  <c r="N189" i="11"/>
  <c r="N188" i="11"/>
  <c r="N187" i="11"/>
  <c r="S186" i="11"/>
  <c r="N186" i="11"/>
  <c r="T186" i="11" s="1"/>
  <c r="S185" i="11"/>
  <c r="N185" i="11"/>
  <c r="T185" i="11" s="1"/>
  <c r="S184" i="11"/>
  <c r="S191" i="11" s="1"/>
  <c r="P191" i="11" s="1"/>
  <c r="N184" i="11"/>
  <c r="T184" i="11" s="1"/>
  <c r="T191" i="11" s="1"/>
  <c r="Q191" i="11" s="1"/>
  <c r="T183" i="11"/>
  <c r="S183" i="11"/>
  <c r="N183" i="11"/>
  <c r="T182" i="11"/>
  <c r="S182" i="11"/>
  <c r="N180" i="11"/>
  <c r="L172" i="11"/>
  <c r="D172" i="11"/>
  <c r="W170" i="11"/>
  <c r="V170" i="11"/>
  <c r="O170" i="11"/>
  <c r="O172" i="11" s="1"/>
  <c r="M170" i="11"/>
  <c r="M172" i="11" s="1"/>
  <c r="L170" i="11"/>
  <c r="K170" i="11"/>
  <c r="K172" i="11" s="1"/>
  <c r="J170" i="11"/>
  <c r="J172" i="11" s="1"/>
  <c r="I170" i="11"/>
  <c r="I172" i="11" s="1"/>
  <c r="H170" i="11"/>
  <c r="H172" i="11" s="1"/>
  <c r="G170" i="11"/>
  <c r="G172" i="11" s="1"/>
  <c r="F170" i="11"/>
  <c r="F172" i="11" s="1"/>
  <c r="E170" i="11"/>
  <c r="E172" i="11" s="1"/>
  <c r="D170" i="11"/>
  <c r="C170" i="11"/>
  <c r="C172" i="11" s="1"/>
  <c r="B170" i="11"/>
  <c r="B172" i="11" s="1"/>
  <c r="S169" i="11"/>
  <c r="P169" i="11" s="1"/>
  <c r="N169" i="11"/>
  <c r="T169" i="11" s="1"/>
  <c r="Q169" i="11" s="1"/>
  <c r="S168" i="11"/>
  <c r="P168" i="11"/>
  <c r="N168" i="11"/>
  <c r="N170" i="11" s="1"/>
  <c r="N172" i="11" s="1"/>
  <c r="S167" i="11"/>
  <c r="P167" i="11" s="1"/>
  <c r="N167" i="11"/>
  <c r="T167" i="11" s="1"/>
  <c r="Q167" i="11" s="1"/>
  <c r="T166" i="11"/>
  <c r="Q166" i="11" s="1"/>
  <c r="S166" i="11"/>
  <c r="P166" i="11" s="1"/>
  <c r="N166" i="11"/>
  <c r="S165" i="11"/>
  <c r="P165" i="11" s="1"/>
  <c r="N165" i="11"/>
  <c r="T165" i="11" s="1"/>
  <c r="Q165" i="11" s="1"/>
  <c r="S164" i="11"/>
  <c r="P164" i="11"/>
  <c r="N164" i="11"/>
  <c r="T164" i="11" s="1"/>
  <c r="Q164" i="11" s="1"/>
  <c r="S163" i="11"/>
  <c r="S170" i="11" s="1"/>
  <c r="P170" i="11" s="1"/>
  <c r="N163" i="11"/>
  <c r="T163" i="11" s="1"/>
  <c r="Q163" i="11" s="1"/>
  <c r="S162" i="11"/>
  <c r="P162" i="11" s="1"/>
  <c r="N162" i="11"/>
  <c r="T162" i="11" s="1"/>
  <c r="Q162" i="11" s="1"/>
  <c r="S161" i="11"/>
  <c r="P161" i="11"/>
  <c r="N161" i="11"/>
  <c r="T161" i="11" s="1"/>
  <c r="Q161" i="11" s="1"/>
  <c r="S160" i="11"/>
  <c r="P160" i="11"/>
  <c r="N160" i="11"/>
  <c r="T160" i="11" s="1"/>
  <c r="Q160" i="11" s="1"/>
  <c r="S159" i="11"/>
  <c r="P159" i="11"/>
  <c r="N159" i="11"/>
  <c r="T159" i="11" s="1"/>
  <c r="Q159" i="11" s="1"/>
  <c r="S158" i="11"/>
  <c r="P158" i="11" s="1"/>
  <c r="N158" i="11"/>
  <c r="T158" i="11" s="1"/>
  <c r="J151" i="11"/>
  <c r="W149" i="11"/>
  <c r="V149" i="11"/>
  <c r="O149" i="11"/>
  <c r="O151" i="11" s="1"/>
  <c r="M149" i="11"/>
  <c r="M151" i="11" s="1"/>
  <c r="L149" i="11"/>
  <c r="L151" i="11" s="1"/>
  <c r="K149" i="11"/>
  <c r="K151" i="11" s="1"/>
  <c r="J149" i="11"/>
  <c r="G149" i="11"/>
  <c r="G151" i="11" s="1"/>
  <c r="F149" i="11"/>
  <c r="F151" i="11" s="1"/>
  <c r="D149" i="11"/>
  <c r="D151" i="11" s="1"/>
  <c r="S148" i="11"/>
  <c r="P148" i="11" s="1"/>
  <c r="N148" i="11"/>
  <c r="T148" i="11" s="1"/>
  <c r="Q148" i="11" s="1"/>
  <c r="S147" i="11"/>
  <c r="P147" i="11" s="1"/>
  <c r="N147" i="11"/>
  <c r="T147" i="11" s="1"/>
  <c r="Q147" i="11" s="1"/>
  <c r="S146" i="11"/>
  <c r="P146" i="11"/>
  <c r="N146" i="11"/>
  <c r="T146" i="11" s="1"/>
  <c r="Q146" i="11" s="1"/>
  <c r="S145" i="11"/>
  <c r="P145" i="11"/>
  <c r="N145" i="11"/>
  <c r="T145" i="11" s="1"/>
  <c r="Q145" i="11" s="1"/>
  <c r="S144" i="11"/>
  <c r="P144" i="11"/>
  <c r="N144" i="11"/>
  <c r="T144" i="11" s="1"/>
  <c r="Q144" i="11" s="1"/>
  <c r="S143" i="11"/>
  <c r="P143" i="11" s="1"/>
  <c r="N143" i="11"/>
  <c r="T143" i="11" s="1"/>
  <c r="Q143" i="11" s="1"/>
  <c r="S142" i="11"/>
  <c r="P142" i="11" s="1"/>
  <c r="N142" i="11"/>
  <c r="T142" i="11" s="1"/>
  <c r="Q142" i="11" s="1"/>
  <c r="I141" i="11"/>
  <c r="I149" i="11" s="1"/>
  <c r="I151" i="11" s="1"/>
  <c r="H141" i="11"/>
  <c r="H149" i="11" s="1"/>
  <c r="H151" i="11" s="1"/>
  <c r="E141" i="11"/>
  <c r="E149" i="11" s="1"/>
  <c r="E151" i="11" s="1"/>
  <c r="D141" i="11"/>
  <c r="N141" i="11" s="1"/>
  <c r="T141" i="11" s="1"/>
  <c r="Q141" i="11" s="1"/>
  <c r="C141" i="11"/>
  <c r="C149" i="11" s="1"/>
  <c r="C151" i="11" s="1"/>
  <c r="B141" i="11"/>
  <c r="S141" i="11" s="1"/>
  <c r="P141" i="11" s="1"/>
  <c r="S140" i="11"/>
  <c r="P140" i="11" s="1"/>
  <c r="N140" i="11"/>
  <c r="T140" i="11" s="1"/>
  <c r="Q140" i="11" s="1"/>
  <c r="S139" i="11"/>
  <c r="P139" i="11"/>
  <c r="N139" i="11"/>
  <c r="T139" i="11" s="1"/>
  <c r="Q139" i="11" s="1"/>
  <c r="S138" i="11"/>
  <c r="S149" i="11" s="1"/>
  <c r="P149" i="11" s="1"/>
  <c r="N138" i="11"/>
  <c r="T138" i="11" s="1"/>
  <c r="Q138" i="11" s="1"/>
  <c r="S137" i="11"/>
  <c r="P137" i="11" s="1"/>
  <c r="N137" i="11"/>
  <c r="T137" i="11" s="1"/>
  <c r="G89" i="31"/>
  <c r="C89" i="31"/>
  <c r="R87" i="31"/>
  <c r="Q87" i="31"/>
  <c r="J87" i="31"/>
  <c r="J89" i="31" s="1"/>
  <c r="H87" i="31"/>
  <c r="H89" i="31" s="1"/>
  <c r="G87" i="31"/>
  <c r="F87" i="31"/>
  <c r="F89" i="31" s="1"/>
  <c r="E87" i="31"/>
  <c r="E89" i="31" s="1"/>
  <c r="D87" i="31"/>
  <c r="D89" i="31" s="1"/>
  <c r="C87" i="31"/>
  <c r="B87" i="31"/>
  <c r="B89" i="31" s="1"/>
  <c r="N86" i="31"/>
  <c r="K86" i="31"/>
  <c r="I86" i="31"/>
  <c r="O86" i="31" s="1"/>
  <c r="L86" i="31" s="1"/>
  <c r="N85" i="31"/>
  <c r="K85" i="31"/>
  <c r="I85" i="31"/>
  <c r="O85" i="31" s="1"/>
  <c r="L85" i="31" s="1"/>
  <c r="N84" i="31"/>
  <c r="K84" i="31" s="1"/>
  <c r="I84" i="31"/>
  <c r="O84" i="31" s="1"/>
  <c r="L84" i="31" s="1"/>
  <c r="N83" i="31"/>
  <c r="K83" i="31" s="1"/>
  <c r="I83" i="31"/>
  <c r="O83" i="31" s="1"/>
  <c r="L83" i="31" s="1"/>
  <c r="N82" i="31"/>
  <c r="K82" i="31"/>
  <c r="I82" i="31"/>
  <c r="O82" i="31" s="1"/>
  <c r="L82" i="31" s="1"/>
  <c r="N81" i="31"/>
  <c r="K81" i="31"/>
  <c r="I81" i="31"/>
  <c r="O81" i="31" s="1"/>
  <c r="L81" i="31" s="1"/>
  <c r="N80" i="31"/>
  <c r="K80" i="31" s="1"/>
  <c r="I80" i="31"/>
  <c r="O80" i="31" s="1"/>
  <c r="L80" i="31" s="1"/>
  <c r="N79" i="31"/>
  <c r="K79" i="31" s="1"/>
  <c r="I79" i="31"/>
  <c r="O79" i="31" s="1"/>
  <c r="L79" i="31" s="1"/>
  <c r="N78" i="31"/>
  <c r="K78" i="31"/>
  <c r="I78" i="31"/>
  <c r="O78" i="31" s="1"/>
  <c r="L78" i="31" s="1"/>
  <c r="N77" i="31"/>
  <c r="K77" i="31"/>
  <c r="I77" i="31"/>
  <c r="O77" i="31" s="1"/>
  <c r="L77" i="31" s="1"/>
  <c r="N76" i="31"/>
  <c r="K76" i="31" s="1"/>
  <c r="I76" i="31"/>
  <c r="O76" i="31" s="1"/>
  <c r="L76" i="31" s="1"/>
  <c r="N75" i="31"/>
  <c r="N87" i="31" s="1"/>
  <c r="K87" i="31" s="1"/>
  <c r="I75" i="31"/>
  <c r="I87" i="31" s="1"/>
  <c r="I89" i="31" s="1"/>
  <c r="G68" i="31"/>
  <c r="C68" i="31"/>
  <c r="R66" i="31"/>
  <c r="Q66" i="31"/>
  <c r="J66" i="31"/>
  <c r="J68" i="31" s="1"/>
  <c r="H66" i="31"/>
  <c r="H68" i="31" s="1"/>
  <c r="G66" i="31"/>
  <c r="F66" i="31"/>
  <c r="F68" i="31" s="1"/>
  <c r="E66" i="31"/>
  <c r="E68" i="31" s="1"/>
  <c r="D66" i="31"/>
  <c r="D68" i="31" s="1"/>
  <c r="C66" i="31"/>
  <c r="B66" i="31"/>
  <c r="B68" i="31" s="1"/>
  <c r="N65" i="31"/>
  <c r="K65" i="31"/>
  <c r="I65" i="31"/>
  <c r="O65" i="31" s="1"/>
  <c r="L65" i="31" s="1"/>
  <c r="N64" i="31"/>
  <c r="K64" i="31"/>
  <c r="I64" i="31"/>
  <c r="O64" i="31" s="1"/>
  <c r="L64" i="31" s="1"/>
  <c r="N63" i="31"/>
  <c r="K63" i="31" s="1"/>
  <c r="I63" i="31"/>
  <c r="O63" i="31" s="1"/>
  <c r="L63" i="31" s="1"/>
  <c r="N62" i="31"/>
  <c r="K62" i="31" s="1"/>
  <c r="I62" i="31"/>
  <c r="O62" i="31" s="1"/>
  <c r="L62" i="31" s="1"/>
  <c r="N61" i="31"/>
  <c r="K61" i="31"/>
  <c r="I61" i="31"/>
  <c r="O61" i="31" s="1"/>
  <c r="L61" i="31" s="1"/>
  <c r="N60" i="31"/>
  <c r="K60" i="31"/>
  <c r="I60" i="31"/>
  <c r="O60" i="31" s="1"/>
  <c r="L60" i="31" s="1"/>
  <c r="N59" i="31"/>
  <c r="K59" i="31" s="1"/>
  <c r="I59" i="31"/>
  <c r="O59" i="31" s="1"/>
  <c r="L59" i="31" s="1"/>
  <c r="N58" i="31"/>
  <c r="K58" i="31" s="1"/>
  <c r="I58" i="31"/>
  <c r="O58" i="31" s="1"/>
  <c r="L58" i="31" s="1"/>
  <c r="N57" i="31"/>
  <c r="K57" i="31"/>
  <c r="I57" i="31"/>
  <c r="O57" i="31" s="1"/>
  <c r="L57" i="31" s="1"/>
  <c r="N56" i="31"/>
  <c r="K56" i="31"/>
  <c r="I56" i="31"/>
  <c r="O56" i="31" s="1"/>
  <c r="L56" i="31" s="1"/>
  <c r="N55" i="31"/>
  <c r="K55" i="31" s="1"/>
  <c r="I55" i="31"/>
  <c r="O55" i="31" s="1"/>
  <c r="L55" i="31" s="1"/>
  <c r="N54" i="31"/>
  <c r="N66" i="31" s="1"/>
  <c r="K66" i="31" s="1"/>
  <c r="I54" i="31"/>
  <c r="I66" i="31" s="1"/>
  <c r="I68" i="31" s="1"/>
  <c r="C87" i="30"/>
  <c r="R85" i="30"/>
  <c r="Q85" i="30"/>
  <c r="J85" i="30"/>
  <c r="J87" i="30" s="1"/>
  <c r="H85" i="30"/>
  <c r="H87" i="30" s="1"/>
  <c r="G85" i="30"/>
  <c r="G87" i="30" s="1"/>
  <c r="F85" i="30"/>
  <c r="F87" i="30" s="1"/>
  <c r="E85" i="30"/>
  <c r="E87" i="30" s="1"/>
  <c r="D85" i="30"/>
  <c r="D87" i="30" s="1"/>
  <c r="C85" i="30"/>
  <c r="B85" i="30"/>
  <c r="B87" i="30" s="1"/>
  <c r="N84" i="30"/>
  <c r="K84" i="30"/>
  <c r="I84" i="30"/>
  <c r="O84" i="30" s="1"/>
  <c r="L84" i="30" s="1"/>
  <c r="N83" i="30"/>
  <c r="K83" i="30" s="1"/>
  <c r="I83" i="30"/>
  <c r="O83" i="30" s="1"/>
  <c r="L83" i="30" s="1"/>
  <c r="N82" i="30"/>
  <c r="K82" i="30" s="1"/>
  <c r="I82" i="30"/>
  <c r="O82" i="30" s="1"/>
  <c r="L82" i="30" s="1"/>
  <c r="N81" i="30"/>
  <c r="K81" i="30"/>
  <c r="I81" i="30"/>
  <c r="O81" i="30" s="1"/>
  <c r="L81" i="30" s="1"/>
  <c r="N80" i="30"/>
  <c r="K80" i="30"/>
  <c r="I80" i="30"/>
  <c r="O80" i="30" s="1"/>
  <c r="L80" i="30" s="1"/>
  <c r="N79" i="30"/>
  <c r="K79" i="30" s="1"/>
  <c r="I79" i="30"/>
  <c r="O79" i="30" s="1"/>
  <c r="L79" i="30" s="1"/>
  <c r="N78" i="30"/>
  <c r="K78" i="30" s="1"/>
  <c r="I78" i="30"/>
  <c r="O78" i="30" s="1"/>
  <c r="L78" i="30" s="1"/>
  <c r="N77" i="30"/>
  <c r="K77" i="30" s="1"/>
  <c r="I77" i="30"/>
  <c r="O77" i="30" s="1"/>
  <c r="L77" i="30" s="1"/>
  <c r="N76" i="30"/>
  <c r="K76" i="30"/>
  <c r="I76" i="30"/>
  <c r="O76" i="30" s="1"/>
  <c r="L76" i="30" s="1"/>
  <c r="N75" i="30"/>
  <c r="K75" i="30" s="1"/>
  <c r="I75" i="30"/>
  <c r="O75" i="30" s="1"/>
  <c r="L75" i="30" s="1"/>
  <c r="N74" i="30"/>
  <c r="K74" i="30" s="1"/>
  <c r="I74" i="30"/>
  <c r="O74" i="30" s="1"/>
  <c r="L74" i="30" s="1"/>
  <c r="N73" i="30"/>
  <c r="K73" i="30"/>
  <c r="I73" i="30"/>
  <c r="I85" i="30" s="1"/>
  <c r="I87" i="30" s="1"/>
  <c r="C66" i="30"/>
  <c r="R64" i="30"/>
  <c r="Q64" i="30"/>
  <c r="J64" i="30"/>
  <c r="J66" i="30" s="1"/>
  <c r="H64" i="30"/>
  <c r="H66" i="30" s="1"/>
  <c r="G64" i="30"/>
  <c r="G66" i="30" s="1"/>
  <c r="F64" i="30"/>
  <c r="F66" i="30" s="1"/>
  <c r="E64" i="30"/>
  <c r="E66" i="30" s="1"/>
  <c r="D64" i="30"/>
  <c r="D66" i="30" s="1"/>
  <c r="C64" i="30"/>
  <c r="B64" i="30"/>
  <c r="B66" i="30" s="1"/>
  <c r="N63" i="30"/>
  <c r="K63" i="30"/>
  <c r="I63" i="30"/>
  <c r="O63" i="30" s="1"/>
  <c r="L63" i="30" s="1"/>
  <c r="N62" i="30"/>
  <c r="K62" i="30" s="1"/>
  <c r="I62" i="30"/>
  <c r="O62" i="30" s="1"/>
  <c r="L62" i="30" s="1"/>
  <c r="N61" i="30"/>
  <c r="K61" i="30" s="1"/>
  <c r="I61" i="30"/>
  <c r="O61" i="30" s="1"/>
  <c r="L61" i="30" s="1"/>
  <c r="N60" i="30"/>
  <c r="K60" i="30"/>
  <c r="I60" i="30"/>
  <c r="O60" i="30" s="1"/>
  <c r="L60" i="30" s="1"/>
  <c r="N59" i="30"/>
  <c r="K59" i="30" s="1"/>
  <c r="I59" i="30"/>
  <c r="O59" i="30" s="1"/>
  <c r="L59" i="30" s="1"/>
  <c r="N58" i="30"/>
  <c r="K58" i="30" s="1"/>
  <c r="I58" i="30"/>
  <c r="O58" i="30" s="1"/>
  <c r="L58" i="30" s="1"/>
  <c r="N57" i="30"/>
  <c r="K57" i="30" s="1"/>
  <c r="I57" i="30"/>
  <c r="O57" i="30" s="1"/>
  <c r="L57" i="30" s="1"/>
  <c r="N56" i="30"/>
  <c r="K56" i="30" s="1"/>
  <c r="I56" i="30"/>
  <c r="O56" i="30" s="1"/>
  <c r="L56" i="30" s="1"/>
  <c r="N55" i="30"/>
  <c r="K55" i="30"/>
  <c r="I55" i="30"/>
  <c r="O55" i="30" s="1"/>
  <c r="L55" i="30" s="1"/>
  <c r="N54" i="30"/>
  <c r="K54" i="30" s="1"/>
  <c r="I54" i="30"/>
  <c r="O54" i="30" s="1"/>
  <c r="L54" i="30" s="1"/>
  <c r="N53" i="30"/>
  <c r="K53" i="30" s="1"/>
  <c r="I53" i="30"/>
  <c r="O53" i="30" s="1"/>
  <c r="L53" i="30" s="1"/>
  <c r="N52" i="30"/>
  <c r="K52" i="30"/>
  <c r="I52" i="30"/>
  <c r="I64" i="30" s="1"/>
  <c r="I66" i="30" s="1"/>
  <c r="O236" i="7"/>
  <c r="N236" i="7"/>
  <c r="M236" i="7"/>
  <c r="L236" i="7"/>
  <c r="J236" i="7"/>
  <c r="I236" i="7"/>
  <c r="H236" i="7"/>
  <c r="G236" i="7"/>
  <c r="F236" i="7"/>
  <c r="E236" i="7"/>
  <c r="D236" i="7"/>
  <c r="C236" i="7"/>
  <c r="B236" i="7"/>
  <c r="N233" i="7"/>
  <c r="N232" i="7"/>
  <c r="U232" i="7" s="1"/>
  <c r="Q232" i="7" s="1"/>
  <c r="N231" i="7"/>
  <c r="U231" i="7" s="1"/>
  <c r="Q231" i="7" s="1"/>
  <c r="N230" i="7"/>
  <c r="U230" i="7" s="1"/>
  <c r="Q230" i="7" s="1"/>
  <c r="N229" i="7"/>
  <c r="N228" i="7"/>
  <c r="N227" i="7"/>
  <c r="N226" i="7"/>
  <c r="N225" i="7"/>
  <c r="N224" i="7"/>
  <c r="N223" i="7"/>
  <c r="U223" i="7" s="1"/>
  <c r="Q223" i="7" s="1"/>
  <c r="Q201" i="7" s="1"/>
  <c r="N222" i="7"/>
  <c r="O206" i="7"/>
  <c r="N206" i="7"/>
  <c r="M206" i="7"/>
  <c r="L206" i="7"/>
  <c r="J206" i="7"/>
  <c r="I206" i="7"/>
  <c r="H206" i="7"/>
  <c r="G206" i="7"/>
  <c r="F206" i="7"/>
  <c r="E206" i="7"/>
  <c r="D206" i="7"/>
  <c r="C206" i="7"/>
  <c r="B206" i="7"/>
  <c r="Q198" i="7"/>
  <c r="Q197" i="7"/>
  <c r="Q196" i="7"/>
  <c r="Q195" i="7"/>
  <c r="Q194" i="7"/>
  <c r="Q193" i="7"/>
  <c r="Q192" i="7"/>
  <c r="N182" i="7"/>
  <c r="N181" i="7"/>
  <c r="N180" i="7"/>
  <c r="N179" i="7"/>
  <c r="N178" i="7"/>
  <c r="N177" i="7"/>
  <c r="N176" i="7"/>
  <c r="N175" i="7"/>
  <c r="N174" i="7"/>
  <c r="N173" i="7"/>
  <c r="N172" i="7"/>
  <c r="N171" i="7"/>
  <c r="N164" i="7"/>
  <c r="N163" i="7"/>
  <c r="N162" i="7"/>
  <c r="N161" i="7"/>
  <c r="N160" i="7"/>
  <c r="N159" i="7"/>
  <c r="O158" i="7"/>
  <c r="O137" i="7" s="1"/>
  <c r="K158" i="7"/>
  <c r="J158" i="7"/>
  <c r="I158" i="7"/>
  <c r="I137" i="7" s="1"/>
  <c r="H158" i="7"/>
  <c r="G158" i="7"/>
  <c r="F158" i="7"/>
  <c r="E158" i="7"/>
  <c r="E137" i="7" s="1"/>
  <c r="D158" i="7"/>
  <c r="C158" i="7"/>
  <c r="N158" i="7" s="1"/>
  <c r="B158" i="7"/>
  <c r="N157" i="7"/>
  <c r="O156" i="7"/>
  <c r="K156" i="7"/>
  <c r="C156" i="7"/>
  <c r="C135" i="7" s="1"/>
  <c r="N135" i="7" s="1"/>
  <c r="T135" i="7" s="1"/>
  <c r="Q135" i="7" s="1"/>
  <c r="B156" i="7"/>
  <c r="N155" i="7"/>
  <c r="N154" i="7"/>
  <c r="N153" i="7"/>
  <c r="W144" i="7"/>
  <c r="V144" i="7"/>
  <c r="O143" i="7"/>
  <c r="M143" i="7"/>
  <c r="L143" i="7"/>
  <c r="K143" i="7"/>
  <c r="J143" i="7"/>
  <c r="I143" i="7"/>
  <c r="H143" i="7"/>
  <c r="G143" i="7"/>
  <c r="F143" i="7"/>
  <c r="E143" i="7"/>
  <c r="D143" i="7"/>
  <c r="C143" i="7"/>
  <c r="N143" i="7" s="1"/>
  <c r="T143" i="7" s="1"/>
  <c r="Q143" i="7" s="1"/>
  <c r="B143" i="7"/>
  <c r="S143" i="7" s="1"/>
  <c r="P143" i="7" s="1"/>
  <c r="O142" i="7"/>
  <c r="M142" i="7"/>
  <c r="L142" i="7"/>
  <c r="K142" i="7"/>
  <c r="J142" i="7"/>
  <c r="I142" i="7"/>
  <c r="H142" i="7"/>
  <c r="G142" i="7"/>
  <c r="F142" i="7"/>
  <c r="N142" i="7" s="1"/>
  <c r="T142" i="7" s="1"/>
  <c r="Q142" i="7" s="1"/>
  <c r="E142" i="7"/>
  <c r="D142" i="7"/>
  <c r="C142" i="7"/>
  <c r="B142" i="7"/>
  <c r="T232" i="7" s="1"/>
  <c r="P232" i="7" s="1"/>
  <c r="O141" i="7"/>
  <c r="M141" i="7"/>
  <c r="L141" i="7"/>
  <c r="K141" i="7"/>
  <c r="J141" i="7"/>
  <c r="I141" i="7"/>
  <c r="H141" i="7"/>
  <c r="G141" i="7"/>
  <c r="F141" i="7"/>
  <c r="E141" i="7"/>
  <c r="D141" i="7"/>
  <c r="C141" i="7"/>
  <c r="N141" i="7" s="1"/>
  <c r="T141" i="7" s="1"/>
  <c r="Q141" i="7" s="1"/>
  <c r="B141" i="7"/>
  <c r="T231" i="7" s="1"/>
  <c r="P231" i="7" s="1"/>
  <c r="O140" i="7"/>
  <c r="N140" i="7"/>
  <c r="T140" i="7" s="1"/>
  <c r="Q140" i="7" s="1"/>
  <c r="M140" i="7"/>
  <c r="L140" i="7"/>
  <c r="K140" i="7"/>
  <c r="J140" i="7"/>
  <c r="I140" i="7"/>
  <c r="H140" i="7"/>
  <c r="G140" i="7"/>
  <c r="F140" i="7"/>
  <c r="E140" i="7"/>
  <c r="D140" i="7"/>
  <c r="C140" i="7"/>
  <c r="B140" i="7"/>
  <c r="T230" i="7" s="1"/>
  <c r="P230" i="7" s="1"/>
  <c r="O139" i="7"/>
  <c r="M139" i="7"/>
  <c r="L139" i="7"/>
  <c r="K139" i="7"/>
  <c r="J139" i="7"/>
  <c r="I139" i="7"/>
  <c r="H139" i="7"/>
  <c r="G139" i="7"/>
  <c r="F139" i="7"/>
  <c r="E139" i="7"/>
  <c r="D139" i="7"/>
  <c r="C139" i="7"/>
  <c r="N139" i="7" s="1"/>
  <c r="T139" i="7" s="1"/>
  <c r="Q139" i="7" s="1"/>
  <c r="B139" i="7"/>
  <c r="S139" i="7" s="1"/>
  <c r="P139" i="7" s="1"/>
  <c r="O138" i="7"/>
  <c r="M138" i="7"/>
  <c r="L138" i="7"/>
  <c r="K138" i="7"/>
  <c r="J138" i="7"/>
  <c r="I138" i="7"/>
  <c r="H138" i="7"/>
  <c r="G138" i="7"/>
  <c r="F138" i="7"/>
  <c r="N138" i="7" s="1"/>
  <c r="T138" i="7" s="1"/>
  <c r="Q138" i="7" s="1"/>
  <c r="E138" i="7"/>
  <c r="D138" i="7"/>
  <c r="C138" i="7"/>
  <c r="B138" i="7"/>
  <c r="S138" i="7" s="1"/>
  <c r="P138" i="7" s="1"/>
  <c r="M137" i="7"/>
  <c r="L137" i="7"/>
  <c r="K137" i="7"/>
  <c r="J137" i="7"/>
  <c r="H137" i="7"/>
  <c r="G137" i="7"/>
  <c r="F137" i="7"/>
  <c r="D137" i="7"/>
  <c r="C137" i="7"/>
  <c r="N137" i="7" s="1"/>
  <c r="T137" i="7" s="1"/>
  <c r="Q137" i="7" s="1"/>
  <c r="B137" i="7"/>
  <c r="T227" i="7" s="1"/>
  <c r="P227" i="7" s="1"/>
  <c r="O136" i="7"/>
  <c r="M136" i="7"/>
  <c r="L136" i="7"/>
  <c r="K136" i="7"/>
  <c r="J136" i="7"/>
  <c r="I136" i="7"/>
  <c r="H136" i="7"/>
  <c r="G136" i="7"/>
  <c r="F136" i="7"/>
  <c r="N136" i="7" s="1"/>
  <c r="T136" i="7" s="1"/>
  <c r="Q136" i="7" s="1"/>
  <c r="E136" i="7"/>
  <c r="D136" i="7"/>
  <c r="C136" i="7"/>
  <c r="B136" i="7"/>
  <c r="S136" i="7" s="1"/>
  <c r="P136" i="7" s="1"/>
  <c r="O135" i="7"/>
  <c r="M135" i="7"/>
  <c r="L135" i="7"/>
  <c r="K135" i="7"/>
  <c r="J135" i="7"/>
  <c r="I135" i="7"/>
  <c r="H135" i="7"/>
  <c r="G135" i="7"/>
  <c r="F135" i="7"/>
  <c r="E135" i="7"/>
  <c r="D135" i="7"/>
  <c r="B135" i="7"/>
  <c r="S135" i="7" s="1"/>
  <c r="P135" i="7" s="1"/>
  <c r="O134" i="7"/>
  <c r="M134" i="7"/>
  <c r="L134" i="7"/>
  <c r="K134" i="7"/>
  <c r="J134" i="7"/>
  <c r="I134" i="7"/>
  <c r="H134" i="7"/>
  <c r="G134" i="7"/>
  <c r="F134" i="7"/>
  <c r="N134" i="7" s="1"/>
  <c r="T134" i="7" s="1"/>
  <c r="Q134" i="7" s="1"/>
  <c r="E134" i="7"/>
  <c r="D134" i="7"/>
  <c r="C134" i="7"/>
  <c r="B134" i="7"/>
  <c r="T224" i="7" s="1"/>
  <c r="P224" i="7" s="1"/>
  <c r="O133" i="7"/>
  <c r="M133" i="7"/>
  <c r="L133" i="7"/>
  <c r="K133" i="7"/>
  <c r="J133" i="7"/>
  <c r="I133" i="7"/>
  <c r="H133" i="7"/>
  <c r="G133" i="7"/>
  <c r="F133" i="7"/>
  <c r="E133" i="7"/>
  <c r="D133" i="7"/>
  <c r="C133" i="7"/>
  <c r="N133" i="7" s="1"/>
  <c r="T133" i="7" s="1"/>
  <c r="Q133" i="7" s="1"/>
  <c r="B133" i="7"/>
  <c r="T223" i="7" s="1"/>
  <c r="P223" i="7" s="1"/>
  <c r="O132" i="7"/>
  <c r="M132" i="7"/>
  <c r="M144" i="7" s="1"/>
  <c r="M146" i="7" s="1"/>
  <c r="L132" i="7"/>
  <c r="L144" i="7" s="1"/>
  <c r="L146" i="7" s="1"/>
  <c r="K132" i="7"/>
  <c r="K144" i="7" s="1"/>
  <c r="J132" i="7"/>
  <c r="J144" i="7" s="1"/>
  <c r="J146" i="7" s="1"/>
  <c r="I132" i="7"/>
  <c r="H132" i="7"/>
  <c r="H144" i="7" s="1"/>
  <c r="H146" i="7" s="1"/>
  <c r="G132" i="7"/>
  <c r="G144" i="7" s="1"/>
  <c r="G146" i="7" s="1"/>
  <c r="F132" i="7"/>
  <c r="F144" i="7" s="1"/>
  <c r="F146" i="7" s="1"/>
  <c r="E132" i="7"/>
  <c r="D132" i="7"/>
  <c r="D144" i="7" s="1"/>
  <c r="D146" i="7" s="1"/>
  <c r="C132" i="7"/>
  <c r="C144" i="7" s="1"/>
  <c r="C146" i="7" s="1"/>
  <c r="B132" i="7"/>
  <c r="B144" i="7" s="1"/>
  <c r="B146" i="7" s="1"/>
  <c r="M96" i="5"/>
  <c r="I96" i="5"/>
  <c r="E96" i="5"/>
  <c r="X94" i="5"/>
  <c r="W94" i="5"/>
  <c r="P94" i="5"/>
  <c r="P96" i="5" s="1"/>
  <c r="N94" i="5"/>
  <c r="N96" i="5" s="1"/>
  <c r="M94" i="5"/>
  <c r="L94" i="5"/>
  <c r="L96" i="5" s="1"/>
  <c r="K94" i="5"/>
  <c r="K96" i="5" s="1"/>
  <c r="J94" i="5"/>
  <c r="J96" i="5" s="1"/>
  <c r="I94" i="5"/>
  <c r="H94" i="5"/>
  <c r="H96" i="5" s="1"/>
  <c r="G94" i="5"/>
  <c r="G96" i="5" s="1"/>
  <c r="F94" i="5"/>
  <c r="F96" i="5" s="1"/>
  <c r="E94" i="5"/>
  <c r="D94" i="5"/>
  <c r="D96" i="5" s="1"/>
  <c r="C94" i="5"/>
  <c r="C96" i="5" s="1"/>
  <c r="B94" i="5"/>
  <c r="B96" i="5" s="1"/>
  <c r="T93" i="5"/>
  <c r="Q93" i="5"/>
  <c r="O93" i="5"/>
  <c r="U93" i="5" s="1"/>
  <c r="R93" i="5" s="1"/>
  <c r="T92" i="5"/>
  <c r="Q92" i="5" s="1"/>
  <c r="O92" i="5"/>
  <c r="U92" i="5" s="1"/>
  <c r="R92" i="5" s="1"/>
  <c r="T91" i="5"/>
  <c r="Q91" i="5" s="1"/>
  <c r="O91" i="5"/>
  <c r="U91" i="5" s="1"/>
  <c r="R91" i="5" s="1"/>
  <c r="T90" i="5"/>
  <c r="Q90" i="5"/>
  <c r="O90" i="5"/>
  <c r="U90" i="5" s="1"/>
  <c r="R90" i="5" s="1"/>
  <c r="T89" i="5"/>
  <c r="Q89" i="5"/>
  <c r="O89" i="5"/>
  <c r="U89" i="5" s="1"/>
  <c r="R89" i="5" s="1"/>
  <c r="T88" i="5"/>
  <c r="Q88" i="5" s="1"/>
  <c r="O88" i="5"/>
  <c r="U88" i="5" s="1"/>
  <c r="R88" i="5" s="1"/>
  <c r="T87" i="5"/>
  <c r="Q87" i="5" s="1"/>
  <c r="O87" i="5"/>
  <c r="U87" i="5" s="1"/>
  <c r="R87" i="5" s="1"/>
  <c r="T86" i="5"/>
  <c r="Q86" i="5"/>
  <c r="O86" i="5"/>
  <c r="U86" i="5" s="1"/>
  <c r="R86" i="5" s="1"/>
  <c r="T85" i="5"/>
  <c r="Q85" i="5"/>
  <c r="O85" i="5"/>
  <c r="U85" i="5" s="1"/>
  <c r="R85" i="5" s="1"/>
  <c r="T84" i="5"/>
  <c r="Q84" i="5" s="1"/>
  <c r="O84" i="5"/>
  <c r="U84" i="5" s="1"/>
  <c r="R84" i="5" s="1"/>
  <c r="T83" i="5"/>
  <c r="Q83" i="5" s="1"/>
  <c r="O83" i="5"/>
  <c r="U83" i="5" s="1"/>
  <c r="R83" i="5" s="1"/>
  <c r="T82" i="5"/>
  <c r="Q82" i="5"/>
  <c r="O82" i="5"/>
  <c r="O94" i="5" s="1"/>
  <c r="O96" i="5" s="1"/>
  <c r="M72" i="5"/>
  <c r="X70" i="5"/>
  <c r="W70" i="5"/>
  <c r="N70" i="5"/>
  <c r="N72" i="5" s="1"/>
  <c r="M70" i="5"/>
  <c r="L70" i="5"/>
  <c r="L72" i="5" s="1"/>
  <c r="K70" i="5"/>
  <c r="K72" i="5" s="1"/>
  <c r="G70" i="5"/>
  <c r="G72" i="5" s="1"/>
  <c r="F70" i="5"/>
  <c r="F72" i="5" s="1"/>
  <c r="D70" i="5"/>
  <c r="D72" i="5" s="1"/>
  <c r="C70" i="5"/>
  <c r="C72" i="5" s="1"/>
  <c r="B70" i="5"/>
  <c r="B72" i="5" s="1"/>
  <c r="T69" i="5"/>
  <c r="Q69" i="5"/>
  <c r="O69" i="5"/>
  <c r="U69" i="5" s="1"/>
  <c r="R69" i="5" s="1"/>
  <c r="P68" i="5"/>
  <c r="P70" i="5" s="1"/>
  <c r="P72" i="5" s="1"/>
  <c r="J68" i="5"/>
  <c r="J70" i="5" s="1"/>
  <c r="J72" i="5" s="1"/>
  <c r="I68" i="5"/>
  <c r="I70" i="5" s="1"/>
  <c r="I72" i="5" s="1"/>
  <c r="H68" i="5"/>
  <c r="H70" i="5" s="1"/>
  <c r="H72" i="5" s="1"/>
  <c r="F68" i="5"/>
  <c r="E68" i="5"/>
  <c r="E70" i="5" s="1"/>
  <c r="E72" i="5" s="1"/>
  <c r="D68" i="5"/>
  <c r="C68" i="5"/>
  <c r="B68" i="5"/>
  <c r="T68" i="5" s="1"/>
  <c r="Q68" i="5" s="1"/>
  <c r="T67" i="5"/>
  <c r="Q67" i="5"/>
  <c r="O67" i="5"/>
  <c r="U67" i="5" s="1"/>
  <c r="R67" i="5" s="1"/>
  <c r="T66" i="5"/>
  <c r="Q66" i="5"/>
  <c r="O66" i="5"/>
  <c r="U66" i="5" s="1"/>
  <c r="R66" i="5" s="1"/>
  <c r="T65" i="5"/>
  <c r="Q65" i="5" s="1"/>
  <c r="O65" i="5"/>
  <c r="U65" i="5" s="1"/>
  <c r="R65" i="5" s="1"/>
  <c r="T64" i="5"/>
  <c r="Q64" i="5" s="1"/>
  <c r="O64" i="5"/>
  <c r="U64" i="5" s="1"/>
  <c r="R64" i="5" s="1"/>
  <c r="T63" i="5"/>
  <c r="Q63" i="5"/>
  <c r="O63" i="5"/>
  <c r="U63" i="5" s="1"/>
  <c r="R63" i="5" s="1"/>
  <c r="T62" i="5"/>
  <c r="Q62" i="5"/>
  <c r="O62" i="5"/>
  <c r="U62" i="5" s="1"/>
  <c r="R62" i="5" s="1"/>
  <c r="T61" i="5"/>
  <c r="Q61" i="5" s="1"/>
  <c r="O61" i="5"/>
  <c r="U61" i="5" s="1"/>
  <c r="R61" i="5" s="1"/>
  <c r="T60" i="5"/>
  <c r="Q60" i="5" s="1"/>
  <c r="O60" i="5"/>
  <c r="U60" i="5" s="1"/>
  <c r="R60" i="5" s="1"/>
  <c r="T59" i="5"/>
  <c r="Q59" i="5"/>
  <c r="O59" i="5"/>
  <c r="T58" i="5"/>
  <c r="Q58" i="5"/>
  <c r="O58" i="5"/>
  <c r="U58" i="5" s="1"/>
  <c r="M89" i="27"/>
  <c r="K89" i="27"/>
  <c r="I89" i="27"/>
  <c r="G89" i="27"/>
  <c r="E89" i="27"/>
  <c r="C89" i="27"/>
  <c r="X87" i="27"/>
  <c r="W87" i="27"/>
  <c r="P87" i="27"/>
  <c r="P89" i="27" s="1"/>
  <c r="N87" i="27"/>
  <c r="N89" i="27" s="1"/>
  <c r="M87" i="27"/>
  <c r="L87" i="27"/>
  <c r="L89" i="27" s="1"/>
  <c r="K87" i="27"/>
  <c r="J87" i="27"/>
  <c r="J89" i="27" s="1"/>
  <c r="I87" i="27"/>
  <c r="H87" i="27"/>
  <c r="H89" i="27" s="1"/>
  <c r="G87" i="27"/>
  <c r="F87" i="27"/>
  <c r="F89" i="27" s="1"/>
  <c r="E87" i="27"/>
  <c r="D87" i="27"/>
  <c r="D89" i="27" s="1"/>
  <c r="C87" i="27"/>
  <c r="B87" i="27"/>
  <c r="B89" i="27" s="1"/>
  <c r="T86" i="27"/>
  <c r="Q86" i="27"/>
  <c r="O86" i="27"/>
  <c r="U86" i="27" s="1"/>
  <c r="R86" i="27" s="1"/>
  <c r="T85" i="27"/>
  <c r="Q85" i="27" s="1"/>
  <c r="O85" i="27"/>
  <c r="U85" i="27" s="1"/>
  <c r="R85" i="27" s="1"/>
  <c r="T84" i="27"/>
  <c r="Q84" i="27" s="1"/>
  <c r="O84" i="27"/>
  <c r="U84" i="27" s="1"/>
  <c r="R84" i="27" s="1"/>
  <c r="T83" i="27"/>
  <c r="Q83" i="27" s="1"/>
  <c r="O83" i="27"/>
  <c r="U83" i="27" s="1"/>
  <c r="R83" i="27" s="1"/>
  <c r="T82" i="27"/>
  <c r="Q82" i="27"/>
  <c r="O82" i="27"/>
  <c r="U82" i="27" s="1"/>
  <c r="R82" i="27" s="1"/>
  <c r="T81" i="27"/>
  <c r="Q81" i="27"/>
  <c r="O81" i="27"/>
  <c r="U81" i="27" s="1"/>
  <c r="R81" i="27" s="1"/>
  <c r="T80" i="27"/>
  <c r="Q80" i="27" s="1"/>
  <c r="O80" i="27"/>
  <c r="U80" i="27" s="1"/>
  <c r="R80" i="27" s="1"/>
  <c r="T79" i="27"/>
  <c r="Q79" i="27" s="1"/>
  <c r="O79" i="27"/>
  <c r="U79" i="27" s="1"/>
  <c r="R79" i="27" s="1"/>
  <c r="T78" i="27"/>
  <c r="Q78" i="27"/>
  <c r="O78" i="27"/>
  <c r="U78" i="27" s="1"/>
  <c r="R78" i="27" s="1"/>
  <c r="T77" i="27"/>
  <c r="Q77" i="27"/>
  <c r="O77" i="27"/>
  <c r="U77" i="27" s="1"/>
  <c r="R77" i="27" s="1"/>
  <c r="T76" i="27"/>
  <c r="Q76" i="27" s="1"/>
  <c r="O76" i="27"/>
  <c r="U76" i="27" s="1"/>
  <c r="R76" i="27" s="1"/>
  <c r="T75" i="27"/>
  <c r="T87" i="27" s="1"/>
  <c r="Q87" i="27" s="1"/>
  <c r="Q75" i="27"/>
  <c r="O75" i="27"/>
  <c r="O87" i="27" s="1"/>
  <c r="O89" i="27" s="1"/>
  <c r="M68" i="27"/>
  <c r="K68" i="27"/>
  <c r="I68" i="27"/>
  <c r="G68" i="27"/>
  <c r="E68" i="27"/>
  <c r="C68" i="27"/>
  <c r="X66" i="27"/>
  <c r="W66" i="27"/>
  <c r="P66" i="27"/>
  <c r="P68" i="27" s="1"/>
  <c r="N66" i="27"/>
  <c r="N68" i="27" s="1"/>
  <c r="M66" i="27"/>
  <c r="L66" i="27"/>
  <c r="L68" i="27" s="1"/>
  <c r="K66" i="27"/>
  <c r="J66" i="27"/>
  <c r="J68" i="27" s="1"/>
  <c r="I66" i="27"/>
  <c r="H66" i="27"/>
  <c r="H68" i="27" s="1"/>
  <c r="G66" i="27"/>
  <c r="F66" i="27"/>
  <c r="F68" i="27" s="1"/>
  <c r="E66" i="27"/>
  <c r="D66" i="27"/>
  <c r="D68" i="27" s="1"/>
  <c r="C66" i="27"/>
  <c r="B66" i="27"/>
  <c r="B68" i="27" s="1"/>
  <c r="T65" i="27"/>
  <c r="Q65" i="27"/>
  <c r="O65" i="27"/>
  <c r="U65" i="27" s="1"/>
  <c r="R65" i="27" s="1"/>
  <c r="T64" i="27"/>
  <c r="Q64" i="27" s="1"/>
  <c r="O64" i="27"/>
  <c r="U64" i="27" s="1"/>
  <c r="R64" i="27" s="1"/>
  <c r="T63" i="27"/>
  <c r="Q63" i="27" s="1"/>
  <c r="O63" i="27"/>
  <c r="U63" i="27" s="1"/>
  <c r="R63" i="27" s="1"/>
  <c r="T62" i="27"/>
  <c r="Q62" i="27"/>
  <c r="O62" i="27"/>
  <c r="U62" i="27" s="1"/>
  <c r="R62" i="27" s="1"/>
  <c r="T61" i="27"/>
  <c r="Q61" i="27"/>
  <c r="O61" i="27"/>
  <c r="U61" i="27" s="1"/>
  <c r="R61" i="27" s="1"/>
  <c r="T60" i="27"/>
  <c r="Q60" i="27" s="1"/>
  <c r="O60" i="27"/>
  <c r="U60" i="27" s="1"/>
  <c r="R60" i="27" s="1"/>
  <c r="T59" i="27"/>
  <c r="Q59" i="27" s="1"/>
  <c r="O59" i="27"/>
  <c r="U59" i="27" s="1"/>
  <c r="R59" i="27" s="1"/>
  <c r="T58" i="27"/>
  <c r="Q58" i="27"/>
  <c r="O58" i="27"/>
  <c r="U58" i="27" s="1"/>
  <c r="R58" i="27" s="1"/>
  <c r="T57" i="27"/>
  <c r="Q57" i="27"/>
  <c r="O57" i="27"/>
  <c r="U57" i="27" s="1"/>
  <c r="R57" i="27" s="1"/>
  <c r="T56" i="27"/>
  <c r="Q56" i="27" s="1"/>
  <c r="O56" i="27"/>
  <c r="U56" i="27" s="1"/>
  <c r="R56" i="27" s="1"/>
  <c r="T55" i="27"/>
  <c r="Q55" i="27" s="1"/>
  <c r="O55" i="27"/>
  <c r="U55" i="27" s="1"/>
  <c r="R55" i="27" s="1"/>
  <c r="T54" i="27"/>
  <c r="T66" i="27" s="1"/>
  <c r="Q66" i="27" s="1"/>
  <c r="Q54" i="27"/>
  <c r="O54" i="27"/>
  <c r="U54" i="27" s="1"/>
  <c r="H88" i="29"/>
  <c r="G88" i="29"/>
  <c r="D88" i="29"/>
  <c r="C88" i="29"/>
  <c r="R86" i="29"/>
  <c r="Q86" i="29"/>
  <c r="J86" i="29"/>
  <c r="J88" i="29" s="1"/>
  <c r="H86" i="29"/>
  <c r="G86" i="29"/>
  <c r="F86" i="29"/>
  <c r="F88" i="29" s="1"/>
  <c r="E86" i="29"/>
  <c r="E88" i="29" s="1"/>
  <c r="D86" i="29"/>
  <c r="C86" i="29"/>
  <c r="B86" i="29"/>
  <c r="B88" i="29" s="1"/>
  <c r="N85" i="29"/>
  <c r="K85" i="29"/>
  <c r="J85" i="29"/>
  <c r="I85" i="29"/>
  <c r="O85" i="29" s="1"/>
  <c r="L85" i="29" s="1"/>
  <c r="N84" i="29"/>
  <c r="K84" i="29" s="1"/>
  <c r="J84" i="29"/>
  <c r="I84" i="29"/>
  <c r="O84" i="29" s="1"/>
  <c r="L84" i="29" s="1"/>
  <c r="N83" i="29"/>
  <c r="K83" i="29"/>
  <c r="J83" i="29"/>
  <c r="I83" i="29"/>
  <c r="O83" i="29" s="1"/>
  <c r="L83" i="29" s="1"/>
  <c r="N82" i="29"/>
  <c r="K82" i="29" s="1"/>
  <c r="J82" i="29"/>
  <c r="I82" i="29"/>
  <c r="O82" i="29" s="1"/>
  <c r="L82" i="29" s="1"/>
  <c r="N81" i="29"/>
  <c r="K81" i="29"/>
  <c r="J81" i="29"/>
  <c r="I81" i="29"/>
  <c r="O81" i="29" s="1"/>
  <c r="L81" i="29" s="1"/>
  <c r="N80" i="29"/>
  <c r="K80" i="29" s="1"/>
  <c r="J80" i="29"/>
  <c r="I80" i="29"/>
  <c r="O80" i="29" s="1"/>
  <c r="L80" i="29" s="1"/>
  <c r="N79" i="29"/>
  <c r="K79" i="29"/>
  <c r="J79" i="29"/>
  <c r="I79" i="29"/>
  <c r="O79" i="29" s="1"/>
  <c r="L79" i="29" s="1"/>
  <c r="N78" i="29"/>
  <c r="K78" i="29" s="1"/>
  <c r="J78" i="29"/>
  <c r="I78" i="29"/>
  <c r="O78" i="29" s="1"/>
  <c r="L78" i="29" s="1"/>
  <c r="N77" i="29"/>
  <c r="K77" i="29"/>
  <c r="J77" i="29"/>
  <c r="I77" i="29"/>
  <c r="O77" i="29" s="1"/>
  <c r="L77" i="29" s="1"/>
  <c r="N76" i="29"/>
  <c r="K76" i="29" s="1"/>
  <c r="J76" i="29"/>
  <c r="I76" i="29"/>
  <c r="O76" i="29" s="1"/>
  <c r="L76" i="29" s="1"/>
  <c r="N75" i="29"/>
  <c r="K75" i="29"/>
  <c r="J75" i="29"/>
  <c r="I75" i="29"/>
  <c r="O75" i="29" s="1"/>
  <c r="L75" i="29" s="1"/>
  <c r="N74" i="29"/>
  <c r="N86" i="29" s="1"/>
  <c r="K86" i="29" s="1"/>
  <c r="J74" i="29"/>
  <c r="I74" i="29"/>
  <c r="I86" i="29" s="1"/>
  <c r="I88" i="29" s="1"/>
  <c r="H67" i="29"/>
  <c r="G67" i="29"/>
  <c r="D67" i="29"/>
  <c r="C67" i="29"/>
  <c r="R65" i="29"/>
  <c r="Q65" i="29"/>
  <c r="J65" i="29"/>
  <c r="J67" i="29" s="1"/>
  <c r="H65" i="29"/>
  <c r="G65" i="29"/>
  <c r="F65" i="29"/>
  <c r="F67" i="29" s="1"/>
  <c r="E65" i="29"/>
  <c r="E67" i="29" s="1"/>
  <c r="D65" i="29"/>
  <c r="C65" i="29"/>
  <c r="B65" i="29"/>
  <c r="B67" i="29" s="1"/>
  <c r="N64" i="29"/>
  <c r="K64" i="29"/>
  <c r="J64" i="29"/>
  <c r="I64" i="29"/>
  <c r="O64" i="29" s="1"/>
  <c r="L64" i="29" s="1"/>
  <c r="N63" i="29"/>
  <c r="K63" i="29" s="1"/>
  <c r="J63" i="29"/>
  <c r="I63" i="29"/>
  <c r="O63" i="29" s="1"/>
  <c r="L63" i="29" s="1"/>
  <c r="N62" i="29"/>
  <c r="K62" i="29"/>
  <c r="J62" i="29"/>
  <c r="I62" i="29"/>
  <c r="O62" i="29" s="1"/>
  <c r="L62" i="29" s="1"/>
  <c r="N61" i="29"/>
  <c r="K61" i="29" s="1"/>
  <c r="J61" i="29"/>
  <c r="I61" i="29"/>
  <c r="O61" i="29" s="1"/>
  <c r="L61" i="29" s="1"/>
  <c r="N60" i="29"/>
  <c r="K60" i="29"/>
  <c r="J60" i="29"/>
  <c r="I60" i="29"/>
  <c r="O60" i="29" s="1"/>
  <c r="L60" i="29" s="1"/>
  <c r="N59" i="29"/>
  <c r="K59" i="29" s="1"/>
  <c r="J59" i="29"/>
  <c r="I59" i="29"/>
  <c r="O59" i="29" s="1"/>
  <c r="L59" i="29" s="1"/>
  <c r="N58" i="29"/>
  <c r="K58" i="29"/>
  <c r="J58" i="29"/>
  <c r="I58" i="29"/>
  <c r="O58" i="29" s="1"/>
  <c r="L58" i="29" s="1"/>
  <c r="N57" i="29"/>
  <c r="K57" i="29" s="1"/>
  <c r="J57" i="29"/>
  <c r="I57" i="29"/>
  <c r="O57" i="29" s="1"/>
  <c r="L57" i="29" s="1"/>
  <c r="N56" i="29"/>
  <c r="K56" i="29"/>
  <c r="J56" i="29"/>
  <c r="I56" i="29"/>
  <c r="O56" i="29" s="1"/>
  <c r="L56" i="29" s="1"/>
  <c r="N55" i="29"/>
  <c r="K55" i="29" s="1"/>
  <c r="J55" i="29"/>
  <c r="I55" i="29"/>
  <c r="O55" i="29" s="1"/>
  <c r="L55" i="29" s="1"/>
  <c r="N54" i="29"/>
  <c r="K54" i="29"/>
  <c r="J54" i="29"/>
  <c r="I54" i="29"/>
  <c r="O54" i="29" s="1"/>
  <c r="L54" i="29" s="1"/>
  <c r="N53" i="29"/>
  <c r="N65" i="29" s="1"/>
  <c r="K65" i="29" s="1"/>
  <c r="J53" i="29"/>
  <c r="I53" i="29"/>
  <c r="I65" i="29" s="1"/>
  <c r="I67" i="29" s="1"/>
  <c r="L46" i="34"/>
  <c r="H46" i="34"/>
  <c r="D46" i="34"/>
  <c r="O44" i="34"/>
  <c r="O46" i="34" s="1"/>
  <c r="M44" i="34"/>
  <c r="M46" i="34" s="1"/>
  <c r="L44" i="34"/>
  <c r="K44" i="34"/>
  <c r="K46" i="34" s="1"/>
  <c r="J44" i="34"/>
  <c r="J46" i="34" s="1"/>
  <c r="I44" i="34"/>
  <c r="I46" i="34" s="1"/>
  <c r="H44" i="34"/>
  <c r="G44" i="34"/>
  <c r="G46" i="34" s="1"/>
  <c r="F44" i="34"/>
  <c r="F46" i="34" s="1"/>
  <c r="E44" i="34"/>
  <c r="E46" i="34" s="1"/>
  <c r="D44" i="34"/>
  <c r="C44" i="34"/>
  <c r="C46" i="34" s="1"/>
  <c r="B44" i="34"/>
  <c r="B46" i="34" s="1"/>
  <c r="N43" i="34"/>
  <c r="N42" i="34"/>
  <c r="N41" i="34"/>
  <c r="N40" i="34"/>
  <c r="N39" i="34"/>
  <c r="N38" i="34"/>
  <c r="N37" i="34"/>
  <c r="N36" i="34"/>
  <c r="N35" i="34"/>
  <c r="N34" i="34"/>
  <c r="N33" i="34"/>
  <c r="N32" i="34"/>
  <c r="N44" i="34" s="1"/>
  <c r="N46" i="34" s="1"/>
  <c r="L23" i="34"/>
  <c r="H23" i="34"/>
  <c r="D23" i="34"/>
  <c r="O21" i="34"/>
  <c r="O23" i="34" s="1"/>
  <c r="N21" i="34"/>
  <c r="N23" i="34" s="1"/>
  <c r="M21" i="34"/>
  <c r="M23" i="34" s="1"/>
  <c r="L21" i="34"/>
  <c r="K21" i="34"/>
  <c r="K23" i="34" s="1"/>
  <c r="J21" i="34"/>
  <c r="J23" i="34" s="1"/>
  <c r="I21" i="34"/>
  <c r="I23" i="34" s="1"/>
  <c r="H21" i="34"/>
  <c r="G21" i="34"/>
  <c r="G23" i="34" s="1"/>
  <c r="F21" i="34"/>
  <c r="F23" i="34" s="1"/>
  <c r="E21" i="34"/>
  <c r="E23" i="34" s="1"/>
  <c r="D21" i="34"/>
  <c r="C21" i="34"/>
  <c r="C23" i="34" s="1"/>
  <c r="B21" i="34"/>
  <c r="B23" i="34" s="1"/>
  <c r="N20" i="34"/>
  <c r="N19" i="34"/>
  <c r="N18" i="34"/>
  <c r="L91" i="4"/>
  <c r="K91" i="4"/>
  <c r="H91" i="4"/>
  <c r="G91" i="4"/>
  <c r="D91" i="4"/>
  <c r="C91" i="4"/>
  <c r="V89" i="4"/>
  <c r="U89" i="4"/>
  <c r="N89" i="4"/>
  <c r="N91" i="4" s="1"/>
  <c r="L89" i="4"/>
  <c r="K89" i="4"/>
  <c r="J89" i="4"/>
  <c r="J91" i="4" s="1"/>
  <c r="I89" i="4"/>
  <c r="I91" i="4" s="1"/>
  <c r="H89" i="4"/>
  <c r="G89" i="4"/>
  <c r="F89" i="4"/>
  <c r="F91" i="4" s="1"/>
  <c r="E89" i="4"/>
  <c r="E91" i="4" s="1"/>
  <c r="D89" i="4"/>
  <c r="C89" i="4"/>
  <c r="B89" i="4"/>
  <c r="B91" i="4" s="1"/>
  <c r="R88" i="4"/>
  <c r="O88" i="4"/>
  <c r="M88" i="4"/>
  <c r="S88" i="4" s="1"/>
  <c r="P88" i="4" s="1"/>
  <c r="R87" i="4"/>
  <c r="O87" i="4" s="1"/>
  <c r="M87" i="4"/>
  <c r="S87" i="4" s="1"/>
  <c r="P87" i="4" s="1"/>
  <c r="R86" i="4"/>
  <c r="O86" i="4" s="1"/>
  <c r="M86" i="4"/>
  <c r="S86" i="4" s="1"/>
  <c r="P86" i="4" s="1"/>
  <c r="R85" i="4"/>
  <c r="O85" i="4"/>
  <c r="M85" i="4"/>
  <c r="S85" i="4" s="1"/>
  <c r="P85" i="4" s="1"/>
  <c r="R84" i="4"/>
  <c r="O84" i="4"/>
  <c r="M84" i="4"/>
  <c r="S84" i="4" s="1"/>
  <c r="P84" i="4" s="1"/>
  <c r="R83" i="4"/>
  <c r="O83" i="4" s="1"/>
  <c r="M83" i="4"/>
  <c r="S83" i="4" s="1"/>
  <c r="P83" i="4" s="1"/>
  <c r="R82" i="4"/>
  <c r="O82" i="4" s="1"/>
  <c r="M82" i="4"/>
  <c r="S82" i="4" s="1"/>
  <c r="P82" i="4" s="1"/>
  <c r="R81" i="4"/>
  <c r="O81" i="4"/>
  <c r="M81" i="4"/>
  <c r="S81" i="4" s="1"/>
  <c r="P81" i="4" s="1"/>
  <c r="R80" i="4"/>
  <c r="O80" i="4"/>
  <c r="M80" i="4"/>
  <c r="S80" i="4" s="1"/>
  <c r="P80" i="4" s="1"/>
  <c r="S79" i="4"/>
  <c r="R79" i="4"/>
  <c r="O79" i="4" s="1"/>
  <c r="P79" i="4"/>
  <c r="R78" i="4"/>
  <c r="O78" i="4" s="1"/>
  <c r="M78" i="4"/>
  <c r="S78" i="4" s="1"/>
  <c r="P78" i="4" s="1"/>
  <c r="R77" i="4"/>
  <c r="R89" i="4" s="1"/>
  <c r="O89" i="4" s="1"/>
  <c r="M77" i="4"/>
  <c r="M89" i="4" s="1"/>
  <c r="M91" i="4" s="1"/>
  <c r="N69" i="4"/>
  <c r="J69" i="4"/>
  <c r="F69" i="4"/>
  <c r="B69" i="4"/>
  <c r="V67" i="4"/>
  <c r="U67" i="4"/>
  <c r="N67" i="4"/>
  <c r="L67" i="4"/>
  <c r="L69" i="4" s="1"/>
  <c r="J67" i="4"/>
  <c r="I67" i="4"/>
  <c r="I69" i="4" s="1"/>
  <c r="F67" i="4"/>
  <c r="E67" i="4"/>
  <c r="E69" i="4" s="1"/>
  <c r="B67" i="4"/>
  <c r="R66" i="4"/>
  <c r="O66" i="4"/>
  <c r="M66" i="4"/>
  <c r="S66" i="4" s="1"/>
  <c r="P66" i="4" s="1"/>
  <c r="R65" i="4"/>
  <c r="O65" i="4"/>
  <c r="M65" i="4"/>
  <c r="S65" i="4" s="1"/>
  <c r="P65" i="4" s="1"/>
  <c r="R64" i="4"/>
  <c r="O64" i="4" s="1"/>
  <c r="M64" i="4"/>
  <c r="S64" i="4" s="1"/>
  <c r="P64" i="4" s="1"/>
  <c r="R63" i="4"/>
  <c r="O63" i="4" s="1"/>
  <c r="M63" i="4"/>
  <c r="S63" i="4" s="1"/>
  <c r="P63" i="4" s="1"/>
  <c r="R62" i="4"/>
  <c r="O62" i="4"/>
  <c r="M62" i="4"/>
  <c r="S62" i="4" s="1"/>
  <c r="P62" i="4" s="1"/>
  <c r="R61" i="4"/>
  <c r="O61" i="4"/>
  <c r="M61" i="4"/>
  <c r="S61" i="4" s="1"/>
  <c r="P61" i="4" s="1"/>
  <c r="R60" i="4"/>
  <c r="O60" i="4" s="1"/>
  <c r="M60" i="4"/>
  <c r="S60" i="4" s="1"/>
  <c r="P60" i="4" s="1"/>
  <c r="R59" i="4"/>
  <c r="O59" i="4" s="1"/>
  <c r="M59" i="4"/>
  <c r="S59" i="4" s="1"/>
  <c r="P59" i="4" s="1"/>
  <c r="M58" i="4"/>
  <c r="S58" i="4" s="1"/>
  <c r="P58" i="4" s="1"/>
  <c r="K58" i="4"/>
  <c r="K67" i="4" s="1"/>
  <c r="K69" i="4" s="1"/>
  <c r="J58" i="4"/>
  <c r="I58" i="4"/>
  <c r="H58" i="4"/>
  <c r="H67" i="4" s="1"/>
  <c r="H69" i="4" s="1"/>
  <c r="G58" i="4"/>
  <c r="G67" i="4" s="1"/>
  <c r="G69" i="4" s="1"/>
  <c r="F58" i="4"/>
  <c r="E58" i="4"/>
  <c r="D58" i="4"/>
  <c r="D67" i="4" s="1"/>
  <c r="D69" i="4" s="1"/>
  <c r="C58" i="4"/>
  <c r="C67" i="4" s="1"/>
  <c r="C69" i="4" s="1"/>
  <c r="B58" i="4"/>
  <c r="R58" i="4" s="1"/>
  <c r="O58" i="4" s="1"/>
  <c r="R57" i="4"/>
  <c r="R67" i="4" s="1"/>
  <c r="O67" i="4" s="1"/>
  <c r="M57" i="4"/>
  <c r="S57" i="4" s="1"/>
  <c r="P57" i="4" s="1"/>
  <c r="R56" i="4"/>
  <c r="O56" i="4"/>
  <c r="M56" i="4"/>
  <c r="M67" i="4" s="1"/>
  <c r="M69" i="4" s="1"/>
  <c r="R55" i="4"/>
  <c r="O55" i="4"/>
  <c r="M55" i="4"/>
  <c r="S55" i="4" s="1"/>
  <c r="H98" i="28"/>
  <c r="G98" i="28"/>
  <c r="E98" i="28"/>
  <c r="D98" i="28"/>
  <c r="C98" i="28"/>
  <c r="S96" i="28"/>
  <c r="R96" i="28"/>
  <c r="J96" i="28"/>
  <c r="J98" i="28" s="1"/>
  <c r="H96" i="28"/>
  <c r="G96" i="28"/>
  <c r="F96" i="28"/>
  <c r="F98" i="28" s="1"/>
  <c r="E96" i="28"/>
  <c r="D96" i="28"/>
  <c r="C96" i="28"/>
  <c r="B96" i="28"/>
  <c r="B98" i="28" s="1"/>
  <c r="O95" i="28"/>
  <c r="K95" i="28"/>
  <c r="I95" i="28"/>
  <c r="P95" i="28" s="1"/>
  <c r="L95" i="28" s="1"/>
  <c r="O94" i="28"/>
  <c r="K94" i="28" s="1"/>
  <c r="I94" i="28"/>
  <c r="P94" i="28" s="1"/>
  <c r="L94" i="28" s="1"/>
  <c r="O93" i="28"/>
  <c r="K93" i="28" s="1"/>
  <c r="I93" i="28"/>
  <c r="P93" i="28" s="1"/>
  <c r="L93" i="28" s="1"/>
  <c r="O92" i="28"/>
  <c r="K92" i="28"/>
  <c r="I92" i="28"/>
  <c r="P92" i="28" s="1"/>
  <c r="L92" i="28" s="1"/>
  <c r="O91" i="28"/>
  <c r="K91" i="28"/>
  <c r="I91" i="28"/>
  <c r="P91" i="28" s="1"/>
  <c r="L91" i="28" s="1"/>
  <c r="O90" i="28"/>
  <c r="K90" i="28" s="1"/>
  <c r="I90" i="28"/>
  <c r="P90" i="28" s="1"/>
  <c r="L90" i="28" s="1"/>
  <c r="O89" i="28"/>
  <c r="K89" i="28" s="1"/>
  <c r="I89" i="28"/>
  <c r="P89" i="28" s="1"/>
  <c r="L89" i="28" s="1"/>
  <c r="O88" i="28"/>
  <c r="K88" i="28"/>
  <c r="I88" i="28"/>
  <c r="P88" i="28" s="1"/>
  <c r="L88" i="28" s="1"/>
  <c r="O87" i="28"/>
  <c r="K87" i="28"/>
  <c r="I87" i="28"/>
  <c r="P87" i="28" s="1"/>
  <c r="L87" i="28" s="1"/>
  <c r="O86" i="28"/>
  <c r="K86" i="28" s="1"/>
  <c r="I86" i="28"/>
  <c r="P86" i="28" s="1"/>
  <c r="L86" i="28" s="1"/>
  <c r="O85" i="28"/>
  <c r="K85" i="28" s="1"/>
  <c r="I85" i="28"/>
  <c r="P85" i="28" s="1"/>
  <c r="L85" i="28" s="1"/>
  <c r="O84" i="28"/>
  <c r="O96" i="28" s="1"/>
  <c r="K96" i="28" s="1"/>
  <c r="K84" i="28"/>
  <c r="I84" i="28"/>
  <c r="I96" i="28" s="1"/>
  <c r="I98" i="28" s="1"/>
  <c r="H76" i="28"/>
  <c r="G76" i="28"/>
  <c r="E76" i="28"/>
  <c r="D76" i="28"/>
  <c r="C76" i="28"/>
  <c r="S74" i="28"/>
  <c r="R74" i="28"/>
  <c r="J74" i="28"/>
  <c r="J76" i="28" s="1"/>
  <c r="H74" i="28"/>
  <c r="G74" i="28"/>
  <c r="F74" i="28"/>
  <c r="F76" i="28" s="1"/>
  <c r="E74" i="28"/>
  <c r="D74" i="28"/>
  <c r="C74" i="28"/>
  <c r="B74" i="28"/>
  <c r="B76" i="28" s="1"/>
  <c r="O73" i="28"/>
  <c r="K73" i="28"/>
  <c r="I73" i="28"/>
  <c r="P73" i="28" s="1"/>
  <c r="L73" i="28" s="1"/>
  <c r="O72" i="28"/>
  <c r="K72" i="28" s="1"/>
  <c r="I72" i="28"/>
  <c r="P72" i="28" s="1"/>
  <c r="L72" i="28" s="1"/>
  <c r="O71" i="28"/>
  <c r="K71" i="28" s="1"/>
  <c r="I71" i="28"/>
  <c r="P71" i="28" s="1"/>
  <c r="L71" i="28" s="1"/>
  <c r="O70" i="28"/>
  <c r="K70" i="28"/>
  <c r="I70" i="28"/>
  <c r="P70" i="28" s="1"/>
  <c r="L70" i="28" s="1"/>
  <c r="O69" i="28"/>
  <c r="K69" i="28"/>
  <c r="I69" i="28"/>
  <c r="P69" i="28" s="1"/>
  <c r="L69" i="28" s="1"/>
  <c r="O68" i="28"/>
  <c r="K68" i="28" s="1"/>
  <c r="I68" i="28"/>
  <c r="P68" i="28" s="1"/>
  <c r="L68" i="28" s="1"/>
  <c r="O67" i="28"/>
  <c r="K67" i="28" s="1"/>
  <c r="I67" i="28"/>
  <c r="P67" i="28" s="1"/>
  <c r="L67" i="28" s="1"/>
  <c r="O66" i="28"/>
  <c r="K66" i="28"/>
  <c r="I66" i="28"/>
  <c r="P66" i="28" s="1"/>
  <c r="L66" i="28" s="1"/>
  <c r="O65" i="28"/>
  <c r="K65" i="28"/>
  <c r="I65" i="28"/>
  <c r="P65" i="28" s="1"/>
  <c r="L65" i="28" s="1"/>
  <c r="O64" i="28"/>
  <c r="K64" i="28" s="1"/>
  <c r="I64" i="28"/>
  <c r="P64" i="28" s="1"/>
  <c r="L64" i="28" s="1"/>
  <c r="O63" i="28"/>
  <c r="K63" i="28" s="1"/>
  <c r="I63" i="28"/>
  <c r="P63" i="28" s="1"/>
  <c r="L63" i="28" s="1"/>
  <c r="O62" i="28"/>
  <c r="O74" i="28" s="1"/>
  <c r="K74" i="28" s="1"/>
  <c r="K62" i="28"/>
  <c r="I62" i="28"/>
  <c r="I74" i="28" s="1"/>
  <c r="I76" i="28" s="1"/>
  <c r="M69" i="1"/>
  <c r="I69" i="1"/>
  <c r="E69" i="1"/>
  <c r="X67" i="1"/>
  <c r="W67" i="1"/>
  <c r="P67" i="1"/>
  <c r="P69" i="1" s="1"/>
  <c r="N67" i="1"/>
  <c r="N69" i="1" s="1"/>
  <c r="M67" i="1"/>
  <c r="L67" i="1"/>
  <c r="L69" i="1" s="1"/>
  <c r="K67" i="1"/>
  <c r="K69" i="1" s="1"/>
  <c r="J67" i="1"/>
  <c r="J69" i="1" s="1"/>
  <c r="I67" i="1"/>
  <c r="H67" i="1"/>
  <c r="H69" i="1" s="1"/>
  <c r="G67" i="1"/>
  <c r="G69" i="1" s="1"/>
  <c r="F67" i="1"/>
  <c r="F69" i="1" s="1"/>
  <c r="E67" i="1"/>
  <c r="D67" i="1"/>
  <c r="D69" i="1" s="1"/>
  <c r="C67" i="1"/>
  <c r="C69" i="1" s="1"/>
  <c r="B67" i="1"/>
  <c r="B69" i="1" s="1"/>
  <c r="T66" i="1"/>
  <c r="Q66" i="1"/>
  <c r="O66" i="1"/>
  <c r="U66" i="1" s="1"/>
  <c r="R66" i="1" s="1"/>
  <c r="T65" i="1"/>
  <c r="Q65" i="1"/>
  <c r="O65" i="1"/>
  <c r="U65" i="1" s="1"/>
  <c r="R65" i="1" s="1"/>
  <c r="T64" i="1"/>
  <c r="Q64" i="1" s="1"/>
  <c r="O64" i="1"/>
  <c r="U64" i="1" s="1"/>
  <c r="R64" i="1" s="1"/>
  <c r="T63" i="1"/>
  <c r="Q63" i="1" s="1"/>
  <c r="O63" i="1"/>
  <c r="U63" i="1" s="1"/>
  <c r="R63" i="1" s="1"/>
  <c r="T62" i="1"/>
  <c r="Q62" i="1"/>
  <c r="O62" i="1"/>
  <c r="U62" i="1" s="1"/>
  <c r="R62" i="1" s="1"/>
  <c r="T61" i="1"/>
  <c r="Q61" i="1"/>
  <c r="O61" i="1"/>
  <c r="U61" i="1" s="1"/>
  <c r="R61" i="1" s="1"/>
  <c r="T60" i="1"/>
  <c r="Q60" i="1" s="1"/>
  <c r="O60" i="1"/>
  <c r="U60" i="1" s="1"/>
  <c r="R60" i="1" s="1"/>
  <c r="T59" i="1"/>
  <c r="Q59" i="1" s="1"/>
  <c r="O59" i="1"/>
  <c r="U59" i="1" s="1"/>
  <c r="R59" i="1" s="1"/>
  <c r="T58" i="1"/>
  <c r="Q58" i="1"/>
  <c r="O58" i="1"/>
  <c r="U58" i="1" s="1"/>
  <c r="R58" i="1" s="1"/>
  <c r="T57" i="1"/>
  <c r="Q57" i="1"/>
  <c r="O57" i="1"/>
  <c r="U57" i="1" s="1"/>
  <c r="R57" i="1" s="1"/>
  <c r="T56" i="1"/>
  <c r="Q56" i="1" s="1"/>
  <c r="O56" i="1"/>
  <c r="U56" i="1" s="1"/>
  <c r="R56" i="1" s="1"/>
  <c r="T55" i="1"/>
  <c r="T67" i="1" s="1"/>
  <c r="Q67" i="1" s="1"/>
  <c r="O55" i="1"/>
  <c r="O67" i="1" s="1"/>
  <c r="O69" i="1" s="1"/>
  <c r="K75" i="19" l="1"/>
  <c r="K77" i="19" s="1"/>
  <c r="F101" i="19"/>
  <c r="F103" i="19" s="1"/>
  <c r="G75" i="19"/>
  <c r="G77" i="19" s="1"/>
  <c r="G101" i="19"/>
  <c r="G103" i="19" s="1"/>
  <c r="J63" i="19"/>
  <c r="J75" i="19" s="1"/>
  <c r="J77" i="19" s="1"/>
  <c r="O89" i="33"/>
  <c r="L89" i="33" s="1"/>
  <c r="L77" i="33"/>
  <c r="O67" i="33"/>
  <c r="L67" i="33" s="1"/>
  <c r="L55" i="33"/>
  <c r="I67" i="33"/>
  <c r="I69" i="33" s="1"/>
  <c r="I89" i="33"/>
  <c r="I91" i="33" s="1"/>
  <c r="V92" i="26"/>
  <c r="R92" i="26" s="1"/>
  <c r="R80" i="26"/>
  <c r="V59" i="26"/>
  <c r="Q80" i="26"/>
  <c r="O92" i="26"/>
  <c r="O94" i="26" s="1"/>
  <c r="Q59" i="26"/>
  <c r="T76" i="8"/>
  <c r="Q76" i="8" s="1"/>
  <c r="Q64" i="8"/>
  <c r="T86" i="8"/>
  <c r="Q86" i="8" s="1"/>
  <c r="N76" i="8"/>
  <c r="N78" i="8" s="1"/>
  <c r="T83" i="12"/>
  <c r="Q83" i="12" s="1"/>
  <c r="H95" i="12"/>
  <c r="H96" i="12" s="1"/>
  <c r="P82" i="12"/>
  <c r="S94" i="12"/>
  <c r="P94" i="12" s="1"/>
  <c r="F96" i="12"/>
  <c r="J96" i="12"/>
  <c r="E95" i="12"/>
  <c r="E96" i="12" s="1"/>
  <c r="I95" i="12"/>
  <c r="M95" i="12"/>
  <c r="M96" i="12" s="1"/>
  <c r="L96" i="12"/>
  <c r="B73" i="12"/>
  <c r="B75" i="12" s="1"/>
  <c r="F73" i="12"/>
  <c r="F75" i="12" s="1"/>
  <c r="J73" i="12"/>
  <c r="J75" i="12" s="1"/>
  <c r="I96" i="12"/>
  <c r="D95" i="12"/>
  <c r="D96" i="12" s="1"/>
  <c r="L95" i="12"/>
  <c r="H73" i="12"/>
  <c r="H75" i="12" s="1"/>
  <c r="L73" i="12"/>
  <c r="L75" i="12" s="1"/>
  <c r="N63" i="12"/>
  <c r="T63" i="12" s="1"/>
  <c r="Q63" i="12" s="1"/>
  <c r="N71" i="12"/>
  <c r="T71" i="12" s="1"/>
  <c r="Q71" i="12" s="1"/>
  <c r="G96" i="12"/>
  <c r="K96" i="12"/>
  <c r="O95" i="12"/>
  <c r="O96" i="12" s="1"/>
  <c r="C95" i="12"/>
  <c r="C96" i="12" s="1"/>
  <c r="N82" i="12"/>
  <c r="N84" i="12"/>
  <c r="T84" i="12" s="1"/>
  <c r="Q84" i="12" s="1"/>
  <c r="S84" i="12"/>
  <c r="P84" i="12" s="1"/>
  <c r="B94" i="12"/>
  <c r="N61" i="12"/>
  <c r="S61" i="12"/>
  <c r="T212" i="11"/>
  <c r="Q212" i="11" s="1"/>
  <c r="Q158" i="11"/>
  <c r="T149" i="11"/>
  <c r="Q149" i="11" s="1"/>
  <c r="Q137" i="11"/>
  <c r="P138" i="11"/>
  <c r="B149" i="11"/>
  <c r="B151" i="11" s="1"/>
  <c r="N191" i="11"/>
  <c r="N193" i="11" s="1"/>
  <c r="Q200" i="11"/>
  <c r="T168" i="11"/>
  <c r="Q168" i="11" s="1"/>
  <c r="N149" i="11"/>
  <c r="N151" i="11" s="1"/>
  <c r="S202" i="11"/>
  <c r="P202" i="11" s="1"/>
  <c r="T233" i="11"/>
  <c r="Q233" i="11" s="1"/>
  <c r="P163" i="11"/>
  <c r="N212" i="11"/>
  <c r="N214" i="11" s="1"/>
  <c r="P200" i="11"/>
  <c r="P221" i="11"/>
  <c r="K54" i="31"/>
  <c r="K75" i="31"/>
  <c r="O54" i="31"/>
  <c r="O75" i="31"/>
  <c r="N64" i="30"/>
  <c r="K64" i="30" s="1"/>
  <c r="N85" i="30"/>
  <c r="K85" i="30" s="1"/>
  <c r="O73" i="30"/>
  <c r="O52" i="30"/>
  <c r="U227" i="7"/>
  <c r="Q227" i="7" s="1"/>
  <c r="U224" i="7"/>
  <c r="Q224" i="7" s="1"/>
  <c r="Q202" i="7" s="1"/>
  <c r="E144" i="7"/>
  <c r="E146" i="7" s="1"/>
  <c r="I144" i="7"/>
  <c r="I146" i="7" s="1"/>
  <c r="U225" i="7"/>
  <c r="Q225" i="7" s="1"/>
  <c r="Q203" i="7" s="1"/>
  <c r="U229" i="7"/>
  <c r="Q229" i="7" s="1"/>
  <c r="U233" i="7"/>
  <c r="Q233" i="7" s="1"/>
  <c r="U228" i="7"/>
  <c r="Q228" i="7" s="1"/>
  <c r="O144" i="7"/>
  <c r="O146" i="7" s="1"/>
  <c r="U226" i="7"/>
  <c r="Q226" i="7" s="1"/>
  <c r="S132" i="7"/>
  <c r="S134" i="7"/>
  <c r="P134" i="7" s="1"/>
  <c r="T228" i="7"/>
  <c r="P228" i="7" s="1"/>
  <c r="T225" i="7"/>
  <c r="P225" i="7" s="1"/>
  <c r="T229" i="7"/>
  <c r="P229" i="7" s="1"/>
  <c r="T233" i="7"/>
  <c r="P233" i="7" s="1"/>
  <c r="N132" i="7"/>
  <c r="S140" i="7"/>
  <c r="P140" i="7" s="1"/>
  <c r="S142" i="7"/>
  <c r="P142" i="7" s="1"/>
  <c r="S133" i="7"/>
  <c r="P133" i="7" s="1"/>
  <c r="S137" i="7"/>
  <c r="P137" i="7" s="1"/>
  <c r="S141" i="7"/>
  <c r="P141" i="7" s="1"/>
  <c r="N156" i="7"/>
  <c r="T222" i="7"/>
  <c r="P222" i="7" s="1"/>
  <c r="T226" i="7"/>
  <c r="P226" i="7" s="1"/>
  <c r="R58" i="5"/>
  <c r="U59" i="5"/>
  <c r="R59" i="5" s="1"/>
  <c r="U82" i="5"/>
  <c r="T70" i="5"/>
  <c r="Q70" i="5" s="1"/>
  <c r="O68" i="5"/>
  <c r="U68" i="5" s="1"/>
  <c r="R68" i="5" s="1"/>
  <c r="T94" i="5"/>
  <c r="Q94" i="5" s="1"/>
  <c r="U66" i="27"/>
  <c r="R66" i="27" s="1"/>
  <c r="R54" i="27"/>
  <c r="U75" i="27"/>
  <c r="O66" i="27"/>
  <c r="O68" i="27" s="1"/>
  <c r="K53" i="29"/>
  <c r="K74" i="29"/>
  <c r="O53" i="29"/>
  <c r="O74" i="29"/>
  <c r="P55" i="4"/>
  <c r="S56" i="4"/>
  <c r="P56" i="4" s="1"/>
  <c r="O57" i="4"/>
  <c r="O77" i="4"/>
  <c r="S77" i="4"/>
  <c r="P62" i="28"/>
  <c r="P84" i="28"/>
  <c r="U55" i="1"/>
  <c r="Q55" i="1"/>
  <c r="H47" i="33"/>
  <c r="G47" i="33"/>
  <c r="C47" i="33"/>
  <c r="J45" i="33"/>
  <c r="J47" i="33" s="1"/>
  <c r="H45" i="33"/>
  <c r="G45" i="33"/>
  <c r="F45" i="33"/>
  <c r="F47" i="33" s="1"/>
  <c r="E45" i="33"/>
  <c r="E47" i="33" s="1"/>
  <c r="D45" i="33"/>
  <c r="D47" i="33" s="1"/>
  <c r="C45" i="33"/>
  <c r="B45" i="33"/>
  <c r="B47" i="33" s="1"/>
  <c r="I44" i="33"/>
  <c r="I43" i="33"/>
  <c r="I42" i="33"/>
  <c r="I41" i="33"/>
  <c r="I40" i="33"/>
  <c r="I39" i="33"/>
  <c r="I38" i="33"/>
  <c r="I37" i="33"/>
  <c r="I36" i="33"/>
  <c r="I35" i="33"/>
  <c r="I34" i="33"/>
  <c r="I33" i="33"/>
  <c r="C23" i="33"/>
  <c r="R21" i="33"/>
  <c r="Q21" i="33"/>
  <c r="J21" i="33"/>
  <c r="J23" i="33" s="1"/>
  <c r="H21" i="33"/>
  <c r="H23" i="33" s="1"/>
  <c r="G21" i="33"/>
  <c r="G23" i="33" s="1"/>
  <c r="F21" i="33"/>
  <c r="F23" i="33" s="1"/>
  <c r="E21" i="33"/>
  <c r="E23" i="33" s="1"/>
  <c r="D21" i="33"/>
  <c r="D23" i="33" s="1"/>
  <c r="C21" i="33"/>
  <c r="B21" i="33"/>
  <c r="B23" i="33" s="1"/>
  <c r="N20" i="33"/>
  <c r="K20" i="33"/>
  <c r="I20" i="33"/>
  <c r="O20" i="33" s="1"/>
  <c r="L20" i="33" s="1"/>
  <c r="N19" i="33"/>
  <c r="K19" i="33" s="1"/>
  <c r="I19" i="33"/>
  <c r="O19" i="33" s="1"/>
  <c r="L19" i="33" s="1"/>
  <c r="N18" i="33"/>
  <c r="K18" i="33" s="1"/>
  <c r="I18" i="33"/>
  <c r="O18" i="33" s="1"/>
  <c r="L18" i="33" s="1"/>
  <c r="N17" i="33"/>
  <c r="K17" i="33"/>
  <c r="I17" i="33"/>
  <c r="O17" i="33" s="1"/>
  <c r="L17" i="33" s="1"/>
  <c r="N16" i="33"/>
  <c r="K16" i="33" s="1"/>
  <c r="I16" i="33"/>
  <c r="O16" i="33" s="1"/>
  <c r="L16" i="33" s="1"/>
  <c r="N15" i="33"/>
  <c r="K15" i="33" s="1"/>
  <c r="I15" i="33"/>
  <c r="O15" i="33" s="1"/>
  <c r="L15" i="33" s="1"/>
  <c r="N14" i="33"/>
  <c r="K14" i="33" s="1"/>
  <c r="I14" i="33"/>
  <c r="O14" i="33" s="1"/>
  <c r="L14" i="33" s="1"/>
  <c r="N13" i="33"/>
  <c r="K13" i="33" s="1"/>
  <c r="I13" i="33"/>
  <c r="O13" i="33" s="1"/>
  <c r="L13" i="33" s="1"/>
  <c r="N12" i="33"/>
  <c r="K12" i="33"/>
  <c r="I12" i="33"/>
  <c r="O12" i="33" s="1"/>
  <c r="L12" i="33" s="1"/>
  <c r="N11" i="33"/>
  <c r="K11" i="33" s="1"/>
  <c r="I11" i="33"/>
  <c r="O11" i="33" s="1"/>
  <c r="L11" i="33" s="1"/>
  <c r="N10" i="33"/>
  <c r="K10" i="33" s="1"/>
  <c r="I10" i="33"/>
  <c r="O10" i="33" s="1"/>
  <c r="L10" i="33" s="1"/>
  <c r="N9" i="33"/>
  <c r="K9" i="33"/>
  <c r="I9" i="33"/>
  <c r="I21" i="33" s="1"/>
  <c r="I23" i="33" s="1"/>
  <c r="D22" i="32"/>
  <c r="J20" i="32"/>
  <c r="J22" i="32" s="1"/>
  <c r="H20" i="32"/>
  <c r="H22" i="32" s="1"/>
  <c r="G20" i="32"/>
  <c r="G22" i="32" s="1"/>
  <c r="F20" i="32"/>
  <c r="F22" i="32" s="1"/>
  <c r="E20" i="32"/>
  <c r="E22" i="32" s="1"/>
  <c r="D20" i="32"/>
  <c r="C20" i="32"/>
  <c r="C22" i="32" s="1"/>
  <c r="B20" i="32"/>
  <c r="B22" i="32" s="1"/>
  <c r="I19" i="32"/>
  <c r="I18" i="32"/>
  <c r="I17" i="32"/>
  <c r="I16" i="32"/>
  <c r="I15" i="32"/>
  <c r="I14" i="32"/>
  <c r="I13" i="32"/>
  <c r="I12" i="32"/>
  <c r="I11" i="32"/>
  <c r="I10" i="32"/>
  <c r="I9" i="32"/>
  <c r="I8" i="32"/>
  <c r="H46" i="31"/>
  <c r="D46" i="31"/>
  <c r="C46" i="31"/>
  <c r="J44" i="31"/>
  <c r="J46" i="31" s="1"/>
  <c r="H44" i="31"/>
  <c r="G44" i="31"/>
  <c r="G46" i="31" s="1"/>
  <c r="F44" i="31"/>
  <c r="F46" i="31" s="1"/>
  <c r="E44" i="31"/>
  <c r="E46" i="31" s="1"/>
  <c r="D44" i="31"/>
  <c r="C44" i="31"/>
  <c r="B44" i="31"/>
  <c r="B46" i="31" s="1"/>
  <c r="I43" i="31"/>
  <c r="I42" i="31"/>
  <c r="I41" i="31"/>
  <c r="I40" i="31"/>
  <c r="I39" i="31"/>
  <c r="I38" i="31"/>
  <c r="I37" i="31"/>
  <c r="I36" i="31"/>
  <c r="I35" i="31"/>
  <c r="I34" i="31"/>
  <c r="I33" i="31"/>
  <c r="I32" i="31"/>
  <c r="I44" i="31" s="1"/>
  <c r="I46" i="31" s="1"/>
  <c r="G22" i="31"/>
  <c r="C22" i="31"/>
  <c r="J20" i="31"/>
  <c r="J22" i="31" s="1"/>
  <c r="H20" i="31"/>
  <c r="H22" i="31" s="1"/>
  <c r="G20" i="31"/>
  <c r="F20" i="31"/>
  <c r="F22" i="31" s="1"/>
  <c r="E20" i="31"/>
  <c r="E22" i="31" s="1"/>
  <c r="D20" i="31"/>
  <c r="D22" i="31" s="1"/>
  <c r="C20" i="31"/>
  <c r="B20" i="31"/>
  <c r="B22" i="31" s="1"/>
  <c r="I19" i="31"/>
  <c r="I18" i="31"/>
  <c r="I17" i="31"/>
  <c r="I16" i="31"/>
  <c r="I15" i="31"/>
  <c r="I14" i="31"/>
  <c r="I13" i="31"/>
  <c r="I12" i="31"/>
  <c r="I11" i="31"/>
  <c r="I10" i="31"/>
  <c r="I9" i="31"/>
  <c r="I8" i="31"/>
  <c r="C44" i="30"/>
  <c r="J42" i="30"/>
  <c r="J44" i="30" s="1"/>
  <c r="H42" i="30"/>
  <c r="H44" i="30" s="1"/>
  <c r="G42" i="30"/>
  <c r="G44" i="30" s="1"/>
  <c r="F42" i="30"/>
  <c r="F44" i="30" s="1"/>
  <c r="E42" i="30"/>
  <c r="E44" i="30" s="1"/>
  <c r="D42" i="30"/>
  <c r="D44" i="30" s="1"/>
  <c r="C42" i="30"/>
  <c r="B42" i="30"/>
  <c r="B44" i="30" s="1"/>
  <c r="I41" i="30"/>
  <c r="I40" i="30"/>
  <c r="I39" i="30"/>
  <c r="I38" i="30"/>
  <c r="I37" i="30"/>
  <c r="I36" i="30"/>
  <c r="I35" i="30"/>
  <c r="I34" i="30"/>
  <c r="I33" i="30"/>
  <c r="I32" i="30"/>
  <c r="I31" i="30"/>
  <c r="I30" i="30"/>
  <c r="K18" i="30"/>
  <c r="K17" i="30"/>
  <c r="K16" i="30"/>
  <c r="K15" i="30"/>
  <c r="K14" i="30"/>
  <c r="K13" i="30"/>
  <c r="K12" i="30"/>
  <c r="K11" i="30"/>
  <c r="K10" i="30"/>
  <c r="K9" i="30"/>
  <c r="K8" i="30"/>
  <c r="K7" i="30"/>
  <c r="E21" i="30"/>
  <c r="J19" i="30"/>
  <c r="J21" i="30" s="1"/>
  <c r="H19" i="30"/>
  <c r="H21" i="30" s="1"/>
  <c r="G19" i="30"/>
  <c r="G21" i="30" s="1"/>
  <c r="F19" i="30"/>
  <c r="F21" i="30" s="1"/>
  <c r="E19" i="30"/>
  <c r="D19" i="30"/>
  <c r="D21" i="30" s="1"/>
  <c r="C19" i="30"/>
  <c r="C21" i="30" s="1"/>
  <c r="B19" i="30"/>
  <c r="B21" i="30" s="1"/>
  <c r="I18" i="30"/>
  <c r="I17" i="30"/>
  <c r="I16" i="30"/>
  <c r="I15" i="30"/>
  <c r="I14" i="30"/>
  <c r="I13" i="30"/>
  <c r="I12" i="30"/>
  <c r="I11" i="30"/>
  <c r="I10" i="30"/>
  <c r="I9" i="30"/>
  <c r="I8" i="30"/>
  <c r="I7" i="30"/>
  <c r="G46" i="29"/>
  <c r="E46" i="29"/>
  <c r="H44" i="29"/>
  <c r="H46" i="29" s="1"/>
  <c r="G44" i="29"/>
  <c r="F44" i="29"/>
  <c r="F46" i="29" s="1"/>
  <c r="E44" i="29"/>
  <c r="D44" i="29"/>
  <c r="D46" i="29" s="1"/>
  <c r="C44" i="29"/>
  <c r="C46" i="29" s="1"/>
  <c r="B44" i="29"/>
  <c r="B46" i="29" s="1"/>
  <c r="J43" i="29"/>
  <c r="I43" i="29"/>
  <c r="J42" i="29"/>
  <c r="I42" i="29"/>
  <c r="J41" i="29"/>
  <c r="I41" i="29"/>
  <c r="J40" i="29"/>
  <c r="I40" i="29"/>
  <c r="J39" i="29"/>
  <c r="I39" i="29"/>
  <c r="J38" i="29"/>
  <c r="I38" i="29"/>
  <c r="J37" i="29"/>
  <c r="I37" i="29"/>
  <c r="J36" i="29"/>
  <c r="I36" i="29"/>
  <c r="J35" i="29"/>
  <c r="I35" i="29"/>
  <c r="J34" i="29"/>
  <c r="I34" i="29"/>
  <c r="J33" i="29"/>
  <c r="J44" i="29" s="1"/>
  <c r="J46" i="29" s="1"/>
  <c r="I33" i="29"/>
  <c r="J32" i="29"/>
  <c r="I32" i="29"/>
  <c r="G22" i="29"/>
  <c r="C22" i="29"/>
  <c r="H20" i="29"/>
  <c r="H22" i="29" s="1"/>
  <c r="G20" i="29"/>
  <c r="F20" i="29"/>
  <c r="F22" i="29" s="1"/>
  <c r="E20" i="29"/>
  <c r="E22" i="29" s="1"/>
  <c r="D20" i="29"/>
  <c r="D22" i="29" s="1"/>
  <c r="C20" i="29"/>
  <c r="B20" i="29"/>
  <c r="B22" i="29" s="1"/>
  <c r="K19" i="29"/>
  <c r="J19" i="29"/>
  <c r="I19" i="29"/>
  <c r="K18" i="29"/>
  <c r="I18" i="29"/>
  <c r="K17" i="29"/>
  <c r="J17" i="29"/>
  <c r="I17" i="29"/>
  <c r="K16" i="29"/>
  <c r="J16" i="29"/>
  <c r="I16" i="29"/>
  <c r="K15" i="29"/>
  <c r="J15" i="29"/>
  <c r="I15" i="29"/>
  <c r="K14" i="29"/>
  <c r="J14" i="29"/>
  <c r="I14" i="29"/>
  <c r="K13" i="29"/>
  <c r="J13" i="29"/>
  <c r="I13" i="29"/>
  <c r="K12" i="29"/>
  <c r="J12" i="29"/>
  <c r="I12" i="29"/>
  <c r="K11" i="29"/>
  <c r="J11" i="29"/>
  <c r="I11" i="29"/>
  <c r="K10" i="29"/>
  <c r="J10" i="29"/>
  <c r="I10" i="29"/>
  <c r="K9" i="29"/>
  <c r="J9" i="29"/>
  <c r="I9" i="29"/>
  <c r="K20" i="29"/>
  <c r="J8" i="29"/>
  <c r="I8" i="29"/>
  <c r="N44" i="4"/>
  <c r="H44" i="4"/>
  <c r="D44" i="4"/>
  <c r="M44" i="4" s="1"/>
  <c r="C44" i="4"/>
  <c r="B44" i="4"/>
  <c r="N43" i="4"/>
  <c r="G43" i="4"/>
  <c r="F43" i="4"/>
  <c r="E43" i="4"/>
  <c r="D43" i="4"/>
  <c r="C43" i="4"/>
  <c r="B43" i="4"/>
  <c r="L8" i="28"/>
  <c r="K8" i="28"/>
  <c r="I8" i="28"/>
  <c r="I9" i="28"/>
  <c r="J20" i="28"/>
  <c r="J22" i="28" s="1"/>
  <c r="H20" i="28"/>
  <c r="H22" i="28" s="1"/>
  <c r="G20" i="28"/>
  <c r="G22" i="28" s="1"/>
  <c r="F20" i="28"/>
  <c r="F22" i="28" s="1"/>
  <c r="E20" i="28"/>
  <c r="E22" i="28" s="1"/>
  <c r="D20" i="28"/>
  <c r="D22" i="28" s="1"/>
  <c r="C20" i="28"/>
  <c r="C22" i="28" s="1"/>
  <c r="B20" i="28"/>
  <c r="B22" i="28" s="1"/>
  <c r="I19" i="28"/>
  <c r="I18" i="28"/>
  <c r="I17" i="28"/>
  <c r="I16" i="28"/>
  <c r="I15" i="28"/>
  <c r="I14" i="28"/>
  <c r="I13" i="28"/>
  <c r="I12" i="28"/>
  <c r="I11" i="28"/>
  <c r="I10" i="28"/>
  <c r="I20" i="28"/>
  <c r="I22" i="28" s="1"/>
  <c r="D54" i="28"/>
  <c r="J52" i="28"/>
  <c r="J54" i="28" s="1"/>
  <c r="H52" i="28"/>
  <c r="H54" i="28" s="1"/>
  <c r="G52" i="28"/>
  <c r="G54" i="28" s="1"/>
  <c r="F52" i="28"/>
  <c r="F54" i="28" s="1"/>
  <c r="E52" i="28"/>
  <c r="E54" i="28" s="1"/>
  <c r="D52" i="28"/>
  <c r="C52" i="28"/>
  <c r="C54" i="28" s="1"/>
  <c r="B52" i="28"/>
  <c r="B54" i="28" s="1"/>
  <c r="I51" i="28"/>
  <c r="I50" i="28"/>
  <c r="I49" i="28"/>
  <c r="I48" i="28"/>
  <c r="I47" i="28"/>
  <c r="I46" i="28"/>
  <c r="I45" i="28"/>
  <c r="I44" i="28"/>
  <c r="I43" i="28"/>
  <c r="I42" i="28"/>
  <c r="I41" i="28"/>
  <c r="I40" i="28"/>
  <c r="R59" i="26" l="1"/>
  <c r="V71" i="26"/>
  <c r="R71" i="26" s="1"/>
  <c r="S73" i="12"/>
  <c r="P73" i="12" s="1"/>
  <c r="P61" i="12"/>
  <c r="T61" i="12"/>
  <c r="N73" i="12"/>
  <c r="N75" i="12" s="1"/>
  <c r="N94" i="12"/>
  <c r="T82" i="12"/>
  <c r="B95" i="12"/>
  <c r="B96" i="12" s="1"/>
  <c r="T170" i="11"/>
  <c r="Q170" i="11" s="1"/>
  <c r="S212" i="11"/>
  <c r="P212" i="11" s="1"/>
  <c r="O87" i="31"/>
  <c r="L87" i="31" s="1"/>
  <c r="L75" i="31"/>
  <c r="L54" i="31"/>
  <c r="O66" i="31"/>
  <c r="L66" i="31" s="1"/>
  <c r="I42" i="30"/>
  <c r="I44" i="30" s="1"/>
  <c r="L52" i="30"/>
  <c r="O64" i="30"/>
  <c r="L64" i="30" s="1"/>
  <c r="O85" i="30"/>
  <c r="L85" i="30" s="1"/>
  <c r="L73" i="30"/>
  <c r="N144" i="7"/>
  <c r="N146" i="7" s="1"/>
  <c r="T132" i="7"/>
  <c r="U222" i="7"/>
  <c r="Q222" i="7" s="1"/>
  <c r="Q200" i="7" s="1"/>
  <c r="S144" i="7"/>
  <c r="P132" i="7"/>
  <c r="O70" i="5"/>
  <c r="O72" i="5" s="1"/>
  <c r="U94" i="5"/>
  <c r="R94" i="5" s="1"/>
  <c r="R82" i="5"/>
  <c r="U70" i="5"/>
  <c r="R70" i="5" s="1"/>
  <c r="U87" i="27"/>
  <c r="R87" i="27" s="1"/>
  <c r="R75" i="27"/>
  <c r="L74" i="29"/>
  <c r="O86" i="29"/>
  <c r="L86" i="29" s="1"/>
  <c r="L53" i="29"/>
  <c r="O65" i="29"/>
  <c r="L65" i="29" s="1"/>
  <c r="P77" i="4"/>
  <c r="S89" i="4"/>
  <c r="P89" i="4" s="1"/>
  <c r="S67" i="4"/>
  <c r="P67" i="4" s="1"/>
  <c r="L84" i="28"/>
  <c r="P96" i="28"/>
  <c r="L96" i="28" s="1"/>
  <c r="L62" i="28"/>
  <c r="P74" i="28"/>
  <c r="L74" i="28" s="1"/>
  <c r="U67" i="1"/>
  <c r="R67" i="1" s="1"/>
  <c r="R55" i="1"/>
  <c r="I52" i="28"/>
  <c r="I54" i="28" s="1"/>
  <c r="I20" i="31"/>
  <c r="I22" i="31" s="1"/>
  <c r="I20" i="32"/>
  <c r="I22" i="32" s="1"/>
  <c r="I45" i="33"/>
  <c r="I47" i="33" s="1"/>
  <c r="J20" i="29"/>
  <c r="J22" i="29" s="1"/>
  <c r="I44" i="29"/>
  <c r="I46" i="29" s="1"/>
  <c r="N21" i="33"/>
  <c r="K21" i="33" s="1"/>
  <c r="M43" i="4"/>
  <c r="I20" i="29"/>
  <c r="I22" i="29" s="1"/>
  <c r="I19" i="30"/>
  <c r="I21" i="30" s="1"/>
  <c r="O9" i="33"/>
  <c r="K19" i="30"/>
  <c r="K8" i="29"/>
  <c r="P44" i="27"/>
  <c r="P46" i="27" s="1"/>
  <c r="N44" i="27"/>
  <c r="N46" i="27" s="1"/>
  <c r="M44" i="27"/>
  <c r="M46" i="27" s="1"/>
  <c r="L44" i="27"/>
  <c r="L46" i="27" s="1"/>
  <c r="K44" i="27"/>
  <c r="K46" i="27" s="1"/>
  <c r="J44" i="27"/>
  <c r="J46" i="27" s="1"/>
  <c r="I44" i="27"/>
  <c r="I46" i="27" s="1"/>
  <c r="H44" i="27"/>
  <c r="H46" i="27" s="1"/>
  <c r="G44" i="27"/>
  <c r="G46" i="27" s="1"/>
  <c r="F44" i="27"/>
  <c r="F46" i="27" s="1"/>
  <c r="E44" i="27"/>
  <c r="E46" i="27" s="1"/>
  <c r="D44" i="27"/>
  <c r="D46" i="27" s="1"/>
  <c r="C44" i="27"/>
  <c r="C46" i="27" s="1"/>
  <c r="B44" i="27"/>
  <c r="B46" i="27" s="1"/>
  <c r="W43" i="27"/>
  <c r="T43" i="27" s="1"/>
  <c r="Q43" i="27" s="1"/>
  <c r="W42" i="27"/>
  <c r="T42" i="27" s="1"/>
  <c r="Q42" i="27" s="1"/>
  <c r="W41" i="27"/>
  <c r="T41" i="27" s="1"/>
  <c r="Q41" i="27" s="1"/>
  <c r="O41" i="27"/>
  <c r="W40" i="27"/>
  <c r="T40" i="27" s="1"/>
  <c r="Q40" i="27" s="1"/>
  <c r="O40" i="27"/>
  <c r="W39" i="27"/>
  <c r="T39" i="27"/>
  <c r="Q39" i="27" s="1"/>
  <c r="O39" i="27"/>
  <c r="W38" i="27"/>
  <c r="T38" i="27" s="1"/>
  <c r="Q38" i="27" s="1"/>
  <c r="O38" i="27"/>
  <c r="W37" i="27"/>
  <c r="T37" i="27" s="1"/>
  <c r="Q37" i="27" s="1"/>
  <c r="O37" i="27"/>
  <c r="W36" i="27"/>
  <c r="T36" i="27"/>
  <c r="Q36" i="27" s="1"/>
  <c r="O36" i="27"/>
  <c r="W35" i="27"/>
  <c r="T35" i="27" s="1"/>
  <c r="Q35" i="27" s="1"/>
  <c r="O35" i="27"/>
  <c r="W34" i="27"/>
  <c r="T34" i="27" s="1"/>
  <c r="Q34" i="27" s="1"/>
  <c r="O34" i="27"/>
  <c r="W33" i="27"/>
  <c r="T33" i="27" s="1"/>
  <c r="Q33" i="27" s="1"/>
  <c r="O33" i="27"/>
  <c r="W32" i="27"/>
  <c r="O32" i="27"/>
  <c r="P19" i="27"/>
  <c r="P21" i="27" s="1"/>
  <c r="N19" i="27"/>
  <c r="N21" i="27" s="1"/>
  <c r="M19" i="27"/>
  <c r="M21" i="27" s="1"/>
  <c r="L19" i="27"/>
  <c r="L21" i="27" s="1"/>
  <c r="K19" i="27"/>
  <c r="K21" i="27" s="1"/>
  <c r="J19" i="27"/>
  <c r="J21" i="27" s="1"/>
  <c r="I19" i="27"/>
  <c r="I21" i="27" s="1"/>
  <c r="H19" i="27"/>
  <c r="H21" i="27" s="1"/>
  <c r="G19" i="27"/>
  <c r="G21" i="27" s="1"/>
  <c r="F19" i="27"/>
  <c r="F21" i="27" s="1"/>
  <c r="E19" i="27"/>
  <c r="E21" i="27" s="1"/>
  <c r="D19" i="27"/>
  <c r="D21" i="27" s="1"/>
  <c r="C19" i="27"/>
  <c r="C21" i="27" s="1"/>
  <c r="B19" i="27"/>
  <c r="B21" i="27" s="1"/>
  <c r="Q18" i="27"/>
  <c r="O18" i="27"/>
  <c r="X43" i="27" s="1"/>
  <c r="Q17" i="27"/>
  <c r="O17" i="27"/>
  <c r="Q16" i="27"/>
  <c r="O16" i="27"/>
  <c r="X41" i="27" s="1"/>
  <c r="Q15" i="27"/>
  <c r="O15" i="27"/>
  <c r="X40" i="27" s="1"/>
  <c r="Q14" i="27"/>
  <c r="O14" i="27"/>
  <c r="X39" i="27" s="1"/>
  <c r="Q13" i="27"/>
  <c r="O13" i="27"/>
  <c r="X38" i="27" s="1"/>
  <c r="Q12" i="27"/>
  <c r="O12" i="27"/>
  <c r="Q11" i="27"/>
  <c r="O11" i="27"/>
  <c r="X36" i="27" s="1"/>
  <c r="Q10" i="27"/>
  <c r="O10" i="27"/>
  <c r="X35" i="27" s="1"/>
  <c r="Q9" i="27"/>
  <c r="O9" i="27"/>
  <c r="Q8" i="27"/>
  <c r="O8" i="27"/>
  <c r="O7" i="27"/>
  <c r="Q82" i="12" l="1"/>
  <c r="T94" i="12"/>
  <c r="Q94" i="12" s="1"/>
  <c r="N95" i="12"/>
  <c r="N96" i="12" s="1"/>
  <c r="T73" i="12"/>
  <c r="Q73" i="12" s="1"/>
  <c r="Q61" i="12"/>
  <c r="Q132" i="7"/>
  <c r="T144" i="7"/>
  <c r="Q144" i="7" s="1"/>
  <c r="W44" i="27"/>
  <c r="U40" i="27"/>
  <c r="R40" i="27" s="1"/>
  <c r="L9" i="33"/>
  <c r="O21" i="33"/>
  <c r="L21" i="33" s="1"/>
  <c r="X34" i="27"/>
  <c r="O19" i="27"/>
  <c r="O21" i="27" s="1"/>
  <c r="O44" i="27"/>
  <c r="O46" i="27" s="1"/>
  <c r="U38" i="27"/>
  <c r="R38" i="27" s="1"/>
  <c r="Q19" i="27"/>
  <c r="T32" i="27"/>
  <c r="U34" i="27"/>
  <c r="R34" i="27" s="1"/>
  <c r="X42" i="27"/>
  <c r="U42" i="27" s="1"/>
  <c r="R42" i="27" s="1"/>
  <c r="U36" i="27"/>
  <c r="R36" i="27" s="1"/>
  <c r="U39" i="27"/>
  <c r="R39" i="27" s="1"/>
  <c r="U37" i="27"/>
  <c r="R37" i="27" s="1"/>
  <c r="U43" i="27"/>
  <c r="R43" i="27" s="1"/>
  <c r="U35" i="27"/>
  <c r="R35" i="27" s="1"/>
  <c r="T44" i="27"/>
  <c r="Q44" i="27" s="1"/>
  <c r="U41" i="27"/>
  <c r="R41" i="27" s="1"/>
  <c r="Q32" i="27"/>
  <c r="X33" i="27"/>
  <c r="U33" i="27" s="1"/>
  <c r="R33" i="27" s="1"/>
  <c r="X37" i="27"/>
  <c r="X32" i="27"/>
  <c r="Q7" i="27"/>
  <c r="X44" i="27" l="1"/>
  <c r="U32" i="27"/>
  <c r="U44" i="27"/>
  <c r="R44" i="27" s="1"/>
  <c r="R32" i="27"/>
  <c r="O52" i="8" l="1"/>
  <c r="K52" i="8"/>
  <c r="F52" i="8"/>
  <c r="D52" i="8"/>
  <c r="C52" i="8"/>
  <c r="B52" i="8"/>
  <c r="P42" i="5" l="1"/>
  <c r="N42" i="5"/>
  <c r="J42" i="5"/>
  <c r="H42" i="5"/>
  <c r="G42" i="5"/>
  <c r="F42" i="5"/>
  <c r="E42" i="5"/>
  <c r="D42" i="5"/>
  <c r="C42" i="5"/>
  <c r="B42" i="5"/>
  <c r="K104" i="7" l="1"/>
  <c r="O104" i="7"/>
  <c r="F104" i="7"/>
  <c r="D104" i="7"/>
  <c r="C104" i="7"/>
  <c r="B104" i="7"/>
  <c r="P9" i="1" l="1"/>
  <c r="P10" i="1"/>
  <c r="P11" i="1"/>
  <c r="P12" i="1"/>
  <c r="P13" i="1"/>
  <c r="P14" i="1"/>
  <c r="P15" i="1"/>
  <c r="P16" i="1"/>
  <c r="P17" i="1"/>
  <c r="P18" i="1"/>
  <c r="P19" i="1"/>
  <c r="P8" i="1"/>
  <c r="H41" i="5"/>
  <c r="F41" i="5"/>
  <c r="E41" i="5"/>
  <c r="D41" i="5"/>
  <c r="C41" i="5"/>
  <c r="B41" i="5"/>
  <c r="D103" i="7"/>
  <c r="D81" i="7" s="1"/>
  <c r="C103" i="7"/>
  <c r="B103" i="7"/>
  <c r="G104" i="7"/>
  <c r="E104" i="7"/>
  <c r="D41" i="4"/>
  <c r="C41" i="4"/>
  <c r="B41" i="4"/>
  <c r="M33" i="4"/>
  <c r="M34" i="4"/>
  <c r="M36" i="4"/>
  <c r="M37" i="4"/>
  <c r="M38" i="4"/>
  <c r="M39" i="4"/>
  <c r="M40" i="4"/>
  <c r="M42" i="4"/>
  <c r="O102" i="7"/>
  <c r="O80" i="7" s="1"/>
  <c r="L102" i="7"/>
  <c r="K102" i="7"/>
  <c r="K80" i="7" s="1"/>
  <c r="J102" i="7"/>
  <c r="J80" i="7" s="1"/>
  <c r="I102" i="7"/>
  <c r="I80" i="7" s="1"/>
  <c r="H102" i="7"/>
  <c r="G102" i="7"/>
  <c r="F102" i="7"/>
  <c r="F80" i="7" s="1"/>
  <c r="E102" i="7"/>
  <c r="E80" i="7" s="1"/>
  <c r="D102" i="7"/>
  <c r="C102" i="7"/>
  <c r="B102" i="7"/>
  <c r="B80" i="7" s="1"/>
  <c r="O100" i="7"/>
  <c r="O78" i="7" s="1"/>
  <c r="K100" i="7"/>
  <c r="K78" i="7" s="1"/>
  <c r="E100" i="7"/>
  <c r="E78" i="7" s="1"/>
  <c r="D100" i="7"/>
  <c r="D78" i="7" s="1"/>
  <c r="C100" i="7"/>
  <c r="C78" i="7" s="1"/>
  <c r="B100" i="7"/>
  <c r="B78" i="7" s="1"/>
  <c r="O40" i="26"/>
  <c r="B77" i="7"/>
  <c r="C77" i="7"/>
  <c r="P36" i="5"/>
  <c r="P45" i="5" s="1"/>
  <c r="P47" i="5" s="1"/>
  <c r="N36" i="5"/>
  <c r="N45" i="5" s="1"/>
  <c r="M36" i="5"/>
  <c r="M45" i="5" s="1"/>
  <c r="M47" i="5" s="1"/>
  <c r="L36" i="5"/>
  <c r="L45" i="5" s="1"/>
  <c r="L47" i="5" s="1"/>
  <c r="K36" i="5"/>
  <c r="K45" i="5" s="1"/>
  <c r="J36" i="5"/>
  <c r="J45" i="5" s="1"/>
  <c r="J47" i="5" s="1"/>
  <c r="H36" i="5"/>
  <c r="F36" i="5"/>
  <c r="E36" i="5"/>
  <c r="D36" i="5"/>
  <c r="C36" i="5"/>
  <c r="C45" i="5" s="1"/>
  <c r="C47" i="5" s="1"/>
  <c r="B36" i="5"/>
  <c r="O41" i="12"/>
  <c r="O39" i="12"/>
  <c r="N35" i="4"/>
  <c r="F35" i="4"/>
  <c r="F45" i="4" s="1"/>
  <c r="F47" i="4" s="1"/>
  <c r="D35" i="4"/>
  <c r="C35" i="4"/>
  <c r="B35" i="4"/>
  <c r="B45" i="4" s="1"/>
  <c r="O38" i="26"/>
  <c r="O39" i="26"/>
  <c r="O37" i="26"/>
  <c r="O41" i="26"/>
  <c r="V41" i="26" s="1"/>
  <c r="R41" i="26" s="1"/>
  <c r="O42" i="26"/>
  <c r="O43" i="26"/>
  <c r="O44" i="26"/>
  <c r="O45" i="26"/>
  <c r="B49" i="26"/>
  <c r="B51" i="26" s="1"/>
  <c r="N43" i="8"/>
  <c r="N44" i="8"/>
  <c r="N45" i="8"/>
  <c r="N46" i="8"/>
  <c r="N47" i="8"/>
  <c r="N48" i="8"/>
  <c r="N49" i="8"/>
  <c r="N50" i="8"/>
  <c r="N51" i="8"/>
  <c r="N52" i="8"/>
  <c r="B55" i="8"/>
  <c r="B57" i="8" s="1"/>
  <c r="I39" i="12"/>
  <c r="H39" i="12"/>
  <c r="F39" i="12"/>
  <c r="D39" i="12"/>
  <c r="C39" i="12"/>
  <c r="B39" i="12"/>
  <c r="B41" i="12"/>
  <c r="B42" i="12"/>
  <c r="B43" i="12"/>
  <c r="B44" i="12"/>
  <c r="B45" i="12"/>
  <c r="B46" i="12"/>
  <c r="B47" i="12"/>
  <c r="B48" i="12"/>
  <c r="B49" i="12"/>
  <c r="B50" i="12"/>
  <c r="C73" i="7"/>
  <c r="D73" i="7"/>
  <c r="E73" i="7"/>
  <c r="F73" i="7"/>
  <c r="G73" i="7"/>
  <c r="H73" i="7"/>
  <c r="I73" i="7"/>
  <c r="J73" i="7"/>
  <c r="K73" i="7"/>
  <c r="L73" i="7"/>
  <c r="C74" i="7"/>
  <c r="D74" i="7"/>
  <c r="E74" i="7"/>
  <c r="F74" i="7"/>
  <c r="G74" i="7"/>
  <c r="H74" i="7"/>
  <c r="I74" i="7"/>
  <c r="J74" i="7"/>
  <c r="K74" i="7"/>
  <c r="L74" i="7"/>
  <c r="C75" i="7"/>
  <c r="D75" i="7"/>
  <c r="E75" i="7"/>
  <c r="F75" i="7"/>
  <c r="G75" i="7"/>
  <c r="H75" i="7"/>
  <c r="I75" i="7"/>
  <c r="J75" i="7"/>
  <c r="K75" i="7"/>
  <c r="L75" i="7"/>
  <c r="C76" i="7"/>
  <c r="D76" i="7"/>
  <c r="E76" i="7"/>
  <c r="F76" i="7"/>
  <c r="G76" i="7"/>
  <c r="H76" i="7"/>
  <c r="I76" i="7"/>
  <c r="J76" i="7"/>
  <c r="K76" i="7"/>
  <c r="L76" i="7"/>
  <c r="D77" i="7"/>
  <c r="E77" i="7"/>
  <c r="F77" i="7"/>
  <c r="G77" i="7"/>
  <c r="H77" i="7"/>
  <c r="I77" i="7"/>
  <c r="J77" i="7"/>
  <c r="K77" i="7"/>
  <c r="L77" i="7"/>
  <c r="F78" i="7"/>
  <c r="G78" i="7"/>
  <c r="H78" i="7"/>
  <c r="I78" i="7"/>
  <c r="J78" i="7"/>
  <c r="L78" i="7"/>
  <c r="C79" i="7"/>
  <c r="N79" i="7" s="1"/>
  <c r="D79" i="7"/>
  <c r="E79" i="7"/>
  <c r="F79" i="7"/>
  <c r="G79" i="7"/>
  <c r="H79" i="7"/>
  <c r="I79" i="7"/>
  <c r="J79" i="7"/>
  <c r="K79" i="7"/>
  <c r="L79" i="7"/>
  <c r="C80" i="7"/>
  <c r="D80" i="7"/>
  <c r="G80" i="7"/>
  <c r="H80" i="7"/>
  <c r="L80" i="7"/>
  <c r="E81" i="7"/>
  <c r="F81" i="7"/>
  <c r="F82" i="7"/>
  <c r="G81" i="7"/>
  <c r="H81" i="7"/>
  <c r="I81" i="7"/>
  <c r="J81" i="7"/>
  <c r="K81" i="7"/>
  <c r="K82" i="7"/>
  <c r="L81" i="7"/>
  <c r="C82" i="7"/>
  <c r="D82" i="7"/>
  <c r="G82" i="7"/>
  <c r="H82" i="7"/>
  <c r="I82" i="7"/>
  <c r="J82" i="7"/>
  <c r="L82" i="7"/>
  <c r="C83" i="7"/>
  <c r="D83" i="7"/>
  <c r="E83" i="7"/>
  <c r="F83" i="7"/>
  <c r="G83" i="7"/>
  <c r="H83" i="7"/>
  <c r="I83" i="7"/>
  <c r="J83" i="7"/>
  <c r="K83" i="7"/>
  <c r="L83" i="7"/>
  <c r="C84" i="7"/>
  <c r="D84" i="7"/>
  <c r="E84" i="7"/>
  <c r="F84" i="7"/>
  <c r="G84" i="7"/>
  <c r="H84" i="7"/>
  <c r="I84" i="7"/>
  <c r="J84" i="7"/>
  <c r="K84" i="7"/>
  <c r="L84" i="7"/>
  <c r="B73" i="7"/>
  <c r="B74" i="7"/>
  <c r="B75" i="7"/>
  <c r="B76" i="7"/>
  <c r="S52" i="7" s="1"/>
  <c r="P52" i="7" s="1"/>
  <c r="B79" i="7"/>
  <c r="B81" i="7"/>
  <c r="B82" i="7"/>
  <c r="B83" i="7"/>
  <c r="B84" i="7"/>
  <c r="O33" i="5"/>
  <c r="O34" i="5"/>
  <c r="O35" i="5"/>
  <c r="O37" i="5"/>
  <c r="O38" i="5"/>
  <c r="O39" i="5"/>
  <c r="O40" i="5"/>
  <c r="O42" i="5"/>
  <c r="O31" i="1"/>
  <c r="O32" i="1"/>
  <c r="O33" i="1"/>
  <c r="O34" i="1"/>
  <c r="O35" i="1"/>
  <c r="O36" i="1"/>
  <c r="O37" i="1"/>
  <c r="O38" i="1"/>
  <c r="O39" i="1"/>
  <c r="O40" i="1"/>
  <c r="B43" i="1"/>
  <c r="N49" i="26"/>
  <c r="M49" i="26"/>
  <c r="L49" i="26"/>
  <c r="K49" i="26"/>
  <c r="J49" i="26"/>
  <c r="J51" i="26" s="1"/>
  <c r="I49" i="26"/>
  <c r="I51" i="26" s="1"/>
  <c r="H49" i="26"/>
  <c r="H51" i="26" s="1"/>
  <c r="G49" i="26"/>
  <c r="F49" i="26"/>
  <c r="C49" i="26"/>
  <c r="C51" i="26" s="1"/>
  <c r="M55" i="8"/>
  <c r="M57" i="8" s="1"/>
  <c r="L55" i="8"/>
  <c r="L57" i="8" s="1"/>
  <c r="K55" i="8"/>
  <c r="K57" i="8" s="1"/>
  <c r="J55" i="8"/>
  <c r="I55" i="8"/>
  <c r="H55" i="8"/>
  <c r="G55" i="8"/>
  <c r="F55" i="8"/>
  <c r="F57" i="8" s="1"/>
  <c r="E55" i="8"/>
  <c r="E57" i="8" s="1"/>
  <c r="C55" i="8"/>
  <c r="C57" i="8" s="1"/>
  <c r="D55" i="8"/>
  <c r="M39" i="12"/>
  <c r="M40" i="12"/>
  <c r="M41" i="12"/>
  <c r="M42" i="12"/>
  <c r="M43" i="12"/>
  <c r="M44" i="12"/>
  <c r="M45" i="12"/>
  <c r="M46" i="12"/>
  <c r="M47" i="12"/>
  <c r="M48" i="12"/>
  <c r="M49" i="12"/>
  <c r="M50" i="12"/>
  <c r="L39" i="12"/>
  <c r="L41" i="12"/>
  <c r="L42" i="12"/>
  <c r="L43" i="12"/>
  <c r="L44" i="12"/>
  <c r="L45" i="12"/>
  <c r="L46" i="12"/>
  <c r="L47" i="12"/>
  <c r="L48" i="12"/>
  <c r="L49" i="12"/>
  <c r="L50" i="12"/>
  <c r="J39" i="12"/>
  <c r="J40" i="12"/>
  <c r="J41" i="12"/>
  <c r="J42" i="12"/>
  <c r="J43" i="12"/>
  <c r="J44" i="12"/>
  <c r="J45" i="12"/>
  <c r="J46" i="12"/>
  <c r="J47" i="12"/>
  <c r="J48" i="12"/>
  <c r="J49" i="12"/>
  <c r="J50" i="12"/>
  <c r="I40" i="12"/>
  <c r="I41" i="12"/>
  <c r="I42" i="12"/>
  <c r="I43" i="12"/>
  <c r="I44" i="12"/>
  <c r="I45" i="12"/>
  <c r="I46" i="12"/>
  <c r="I47" i="12"/>
  <c r="I48" i="12"/>
  <c r="I49" i="12"/>
  <c r="I50" i="12"/>
  <c r="H40" i="12"/>
  <c r="H41" i="12"/>
  <c r="H42" i="12"/>
  <c r="H43" i="12"/>
  <c r="H44" i="12"/>
  <c r="H45" i="12"/>
  <c r="H46" i="12"/>
  <c r="H47" i="12"/>
  <c r="H48" i="12"/>
  <c r="H49" i="12"/>
  <c r="H50" i="12"/>
  <c r="J43" i="1"/>
  <c r="J45" i="1" s="1"/>
  <c r="H45" i="4"/>
  <c r="G39" i="12"/>
  <c r="G40" i="12"/>
  <c r="G41" i="12"/>
  <c r="G42" i="12"/>
  <c r="G43" i="12"/>
  <c r="G44" i="12"/>
  <c r="G45" i="12"/>
  <c r="G46" i="12"/>
  <c r="G47" i="12"/>
  <c r="G48" i="12"/>
  <c r="G49" i="12"/>
  <c r="G50" i="12"/>
  <c r="F41" i="12"/>
  <c r="F42" i="12"/>
  <c r="F43" i="12"/>
  <c r="F44" i="12"/>
  <c r="F45" i="12"/>
  <c r="F46" i="12"/>
  <c r="F47" i="12"/>
  <c r="F48" i="12"/>
  <c r="F49" i="12"/>
  <c r="F50" i="12"/>
  <c r="E39" i="12"/>
  <c r="E40" i="12"/>
  <c r="N40" i="12" s="1"/>
  <c r="E41" i="12"/>
  <c r="E42" i="12"/>
  <c r="E43" i="12"/>
  <c r="E44" i="12"/>
  <c r="E45" i="12"/>
  <c r="E46" i="12"/>
  <c r="E47" i="12"/>
  <c r="E48" i="12"/>
  <c r="E49" i="12"/>
  <c r="E50" i="12"/>
  <c r="D41" i="12"/>
  <c r="D42" i="12"/>
  <c r="N42" i="12" s="1"/>
  <c r="D43" i="12"/>
  <c r="D44" i="12"/>
  <c r="D45" i="12"/>
  <c r="D46" i="12"/>
  <c r="N46" i="12" s="1"/>
  <c r="D47" i="12"/>
  <c r="D48" i="12"/>
  <c r="D49" i="12"/>
  <c r="D50" i="12"/>
  <c r="C41" i="12"/>
  <c r="C42" i="12"/>
  <c r="C43" i="12"/>
  <c r="C44" i="12"/>
  <c r="N44" i="12" s="1"/>
  <c r="C45" i="12"/>
  <c r="C46" i="12"/>
  <c r="C47" i="12"/>
  <c r="C48" i="12"/>
  <c r="C49" i="12"/>
  <c r="C50" i="12"/>
  <c r="M73" i="7"/>
  <c r="M74" i="7"/>
  <c r="M75" i="7"/>
  <c r="M76" i="7"/>
  <c r="M77" i="7"/>
  <c r="M78" i="7"/>
  <c r="M79" i="7"/>
  <c r="M80" i="7"/>
  <c r="M81" i="7"/>
  <c r="M82" i="7"/>
  <c r="M83" i="7"/>
  <c r="M84" i="7"/>
  <c r="I45" i="5"/>
  <c r="I47" i="5" s="1"/>
  <c r="G45" i="5"/>
  <c r="G47" i="5" s="1"/>
  <c r="L45" i="4"/>
  <c r="I45" i="4"/>
  <c r="G45" i="4"/>
  <c r="E45" i="4"/>
  <c r="E47" i="4" s="1"/>
  <c r="M43" i="1"/>
  <c r="M45" i="1" s="1"/>
  <c r="E43" i="1"/>
  <c r="E45" i="1" s="1"/>
  <c r="D43" i="1"/>
  <c r="D45" i="1"/>
  <c r="N43" i="1"/>
  <c r="N45" i="1" s="1"/>
  <c r="K43" i="1"/>
  <c r="I43" i="1"/>
  <c r="H43" i="1"/>
  <c r="H45" i="1" s="1"/>
  <c r="F43" i="1"/>
  <c r="F45" i="1" s="1"/>
  <c r="G43" i="1"/>
  <c r="C43" i="1"/>
  <c r="C45" i="1" s="1"/>
  <c r="J45" i="4"/>
  <c r="N34" i="4"/>
  <c r="O9" i="1"/>
  <c r="M9" i="4"/>
  <c r="O9" i="5"/>
  <c r="C9" i="7"/>
  <c r="D9" i="7"/>
  <c r="E9" i="7"/>
  <c r="F9" i="7"/>
  <c r="G9" i="7"/>
  <c r="H9" i="7"/>
  <c r="I9" i="7"/>
  <c r="J9" i="7"/>
  <c r="K9" i="7"/>
  <c r="L9" i="7"/>
  <c r="C14" i="12"/>
  <c r="D14" i="12"/>
  <c r="E14" i="12"/>
  <c r="F14" i="12"/>
  <c r="G14" i="12"/>
  <c r="H14" i="12"/>
  <c r="I14" i="12"/>
  <c r="J14" i="12"/>
  <c r="K14" i="12"/>
  <c r="L14" i="12"/>
  <c r="N12" i="8"/>
  <c r="W44" i="8" s="1"/>
  <c r="T44" i="8" s="1"/>
  <c r="Q44" i="8" s="1"/>
  <c r="O12" i="26"/>
  <c r="V12" i="26" s="1"/>
  <c r="R12" i="26" s="1"/>
  <c r="O10" i="1"/>
  <c r="X33" i="1" s="1"/>
  <c r="M10" i="4"/>
  <c r="O10" i="5"/>
  <c r="X35" i="5" s="1"/>
  <c r="C10" i="7"/>
  <c r="D10" i="7"/>
  <c r="E10" i="7"/>
  <c r="F10" i="7"/>
  <c r="G10" i="7"/>
  <c r="H10" i="7"/>
  <c r="I10" i="7"/>
  <c r="J10" i="7"/>
  <c r="K10" i="7"/>
  <c r="L10" i="7"/>
  <c r="C15" i="12"/>
  <c r="D15" i="12"/>
  <c r="E15" i="12"/>
  <c r="F15" i="12"/>
  <c r="G15" i="12"/>
  <c r="H15" i="12"/>
  <c r="I15" i="12"/>
  <c r="J15" i="12"/>
  <c r="K15" i="12"/>
  <c r="L15" i="12"/>
  <c r="N13" i="8"/>
  <c r="W45" i="8" s="1"/>
  <c r="O13" i="26"/>
  <c r="V13" i="26" s="1"/>
  <c r="R13" i="26" s="1"/>
  <c r="O11" i="1"/>
  <c r="X34" i="1" s="1"/>
  <c r="U34" i="1" s="1"/>
  <c r="R34" i="1" s="1"/>
  <c r="M11" i="4"/>
  <c r="O11" i="5"/>
  <c r="C11" i="7"/>
  <c r="D11" i="7"/>
  <c r="E11" i="7"/>
  <c r="F11" i="7"/>
  <c r="G11" i="7"/>
  <c r="H11" i="7"/>
  <c r="I11" i="7"/>
  <c r="J11" i="7"/>
  <c r="K11" i="7"/>
  <c r="L11" i="7"/>
  <c r="C16" i="12"/>
  <c r="D16" i="12"/>
  <c r="E16" i="12"/>
  <c r="F16" i="12"/>
  <c r="G16" i="12"/>
  <c r="H16" i="12"/>
  <c r="I16" i="12"/>
  <c r="J16" i="12"/>
  <c r="K16" i="12"/>
  <c r="L16" i="12"/>
  <c r="N14" i="8"/>
  <c r="W46" i="8" s="1"/>
  <c r="O14" i="26"/>
  <c r="Y40" i="26" s="1"/>
  <c r="O12" i="1"/>
  <c r="M12" i="4"/>
  <c r="O12" i="5"/>
  <c r="C12" i="7"/>
  <c r="D12" i="7"/>
  <c r="E12" i="7"/>
  <c r="F12" i="7"/>
  <c r="G12" i="7"/>
  <c r="H12" i="7"/>
  <c r="I12" i="7"/>
  <c r="J12" i="7"/>
  <c r="K12" i="7"/>
  <c r="L12" i="7"/>
  <c r="C17" i="12"/>
  <c r="D17" i="12"/>
  <c r="E17" i="12"/>
  <c r="F17" i="12"/>
  <c r="G17" i="12"/>
  <c r="H17" i="12"/>
  <c r="I17" i="12"/>
  <c r="J17" i="12"/>
  <c r="K17" i="12"/>
  <c r="L17" i="12"/>
  <c r="N15" i="8"/>
  <c r="O15" i="26"/>
  <c r="Y41" i="26" s="1"/>
  <c r="O13" i="1"/>
  <c r="X36" i="1" s="1"/>
  <c r="M13" i="4"/>
  <c r="V38" i="4" s="1"/>
  <c r="O13" i="5"/>
  <c r="C13" i="7"/>
  <c r="D13" i="7"/>
  <c r="E13" i="7"/>
  <c r="F13" i="7"/>
  <c r="G13" i="7"/>
  <c r="H13" i="7"/>
  <c r="I13" i="7"/>
  <c r="J13" i="7"/>
  <c r="K13" i="7"/>
  <c r="L13" i="7"/>
  <c r="C18" i="12"/>
  <c r="D18" i="12"/>
  <c r="E18" i="12"/>
  <c r="F18" i="12"/>
  <c r="G18" i="12"/>
  <c r="H18" i="12"/>
  <c r="I18" i="12"/>
  <c r="J18" i="12"/>
  <c r="K18" i="12"/>
  <c r="L18" i="12"/>
  <c r="N16" i="8"/>
  <c r="O16" i="26"/>
  <c r="Y42" i="26" s="1"/>
  <c r="O14" i="1"/>
  <c r="X37" i="1"/>
  <c r="M14" i="4"/>
  <c r="O14" i="5"/>
  <c r="C14" i="7"/>
  <c r="D14" i="7"/>
  <c r="E14" i="7"/>
  <c r="F14" i="7"/>
  <c r="G14" i="7"/>
  <c r="H14" i="7"/>
  <c r="I14" i="7"/>
  <c r="J14" i="7"/>
  <c r="K14" i="7"/>
  <c r="L14" i="7"/>
  <c r="C19" i="12"/>
  <c r="D19" i="12"/>
  <c r="E19" i="12"/>
  <c r="F19" i="12"/>
  <c r="G19" i="12"/>
  <c r="H19" i="12"/>
  <c r="I19" i="12"/>
  <c r="J19" i="12"/>
  <c r="K19" i="12"/>
  <c r="L19" i="12"/>
  <c r="N17" i="8"/>
  <c r="W49" i="8" s="1"/>
  <c r="O17" i="26"/>
  <c r="Y43" i="26" s="1"/>
  <c r="V43" i="26" s="1"/>
  <c r="R43" i="26" s="1"/>
  <c r="O15" i="1"/>
  <c r="X38" i="1" s="1"/>
  <c r="U38" i="1" s="1"/>
  <c r="R38" i="1" s="1"/>
  <c r="M15" i="4"/>
  <c r="V40" i="4" s="1"/>
  <c r="S40" i="4" s="1"/>
  <c r="P40" i="4" s="1"/>
  <c r="O15" i="5"/>
  <c r="X40" i="5" s="1"/>
  <c r="C15" i="7"/>
  <c r="D15" i="7"/>
  <c r="E15" i="7"/>
  <c r="F15" i="7"/>
  <c r="G15" i="7"/>
  <c r="H15" i="7"/>
  <c r="I15" i="7"/>
  <c r="J15" i="7"/>
  <c r="K15" i="7"/>
  <c r="L15" i="7"/>
  <c r="C20" i="12"/>
  <c r="D20" i="12"/>
  <c r="E20" i="12"/>
  <c r="F20" i="12"/>
  <c r="G20" i="12"/>
  <c r="H20" i="12"/>
  <c r="I20" i="12"/>
  <c r="J20" i="12"/>
  <c r="K20" i="12"/>
  <c r="L20" i="12"/>
  <c r="N18" i="8"/>
  <c r="W50" i="8" s="1"/>
  <c r="O18" i="26"/>
  <c r="O16" i="1"/>
  <c r="X39" i="1" s="1"/>
  <c r="M16" i="4"/>
  <c r="O16" i="5"/>
  <c r="X41" i="5" s="1"/>
  <c r="C16" i="7"/>
  <c r="D16" i="7"/>
  <c r="E16" i="7"/>
  <c r="F16" i="7"/>
  <c r="G16" i="7"/>
  <c r="H16" i="7"/>
  <c r="I16" i="7"/>
  <c r="J16" i="7"/>
  <c r="K16" i="7"/>
  <c r="L16" i="7"/>
  <c r="C21" i="12"/>
  <c r="D21" i="12"/>
  <c r="E21" i="12"/>
  <c r="F21" i="12"/>
  <c r="G21" i="12"/>
  <c r="H21" i="12"/>
  <c r="I21" i="12"/>
  <c r="J21" i="12"/>
  <c r="K21" i="12"/>
  <c r="L21" i="12"/>
  <c r="N19" i="8"/>
  <c r="O19" i="26"/>
  <c r="Y45" i="26" s="1"/>
  <c r="O17" i="1"/>
  <c r="M17" i="4"/>
  <c r="O17" i="5"/>
  <c r="C17" i="7"/>
  <c r="D17" i="7"/>
  <c r="E17" i="7"/>
  <c r="F17" i="7"/>
  <c r="G17" i="7"/>
  <c r="H17" i="7"/>
  <c r="I17" i="7"/>
  <c r="J17" i="7"/>
  <c r="K17" i="7"/>
  <c r="L17" i="7"/>
  <c r="C22" i="12"/>
  <c r="D22" i="12"/>
  <c r="E22" i="12"/>
  <c r="F22" i="12"/>
  <c r="G22" i="12"/>
  <c r="H22" i="12"/>
  <c r="I22" i="12"/>
  <c r="J22" i="12"/>
  <c r="K22" i="12"/>
  <c r="L22" i="12"/>
  <c r="N20" i="8"/>
  <c r="O20" i="26"/>
  <c r="Y46" i="26" s="1"/>
  <c r="O18" i="1"/>
  <c r="X41" i="1" s="1"/>
  <c r="M18" i="4"/>
  <c r="O18" i="5"/>
  <c r="X43" i="5" s="1"/>
  <c r="C18" i="7"/>
  <c r="N18" i="7" s="1"/>
  <c r="D18" i="7"/>
  <c r="E18" i="7"/>
  <c r="F18" i="7"/>
  <c r="G18" i="7"/>
  <c r="H18" i="7"/>
  <c r="I18" i="7"/>
  <c r="J18" i="7"/>
  <c r="K18" i="7"/>
  <c r="L18" i="7"/>
  <c r="C23" i="12"/>
  <c r="D23" i="12"/>
  <c r="E23" i="12"/>
  <c r="F23" i="12"/>
  <c r="G23" i="12"/>
  <c r="H23" i="12"/>
  <c r="I23" i="12"/>
  <c r="J23" i="12"/>
  <c r="K23" i="12"/>
  <c r="L23" i="12"/>
  <c r="N21" i="8"/>
  <c r="W53" i="8" s="1"/>
  <c r="O21" i="26"/>
  <c r="Y47" i="26" s="1"/>
  <c r="V47" i="26" s="1"/>
  <c r="R47" i="26" s="1"/>
  <c r="O19" i="1"/>
  <c r="M19" i="4"/>
  <c r="O19" i="5"/>
  <c r="X44" i="5" s="1"/>
  <c r="U44" i="5" s="1"/>
  <c r="R44" i="5" s="1"/>
  <c r="C19" i="7"/>
  <c r="D19" i="7"/>
  <c r="E19" i="7"/>
  <c r="F19" i="7"/>
  <c r="G19" i="7"/>
  <c r="H19" i="7"/>
  <c r="I19" i="7"/>
  <c r="J19" i="7"/>
  <c r="K19" i="7"/>
  <c r="L19" i="7"/>
  <c r="C24" i="12"/>
  <c r="D24" i="12"/>
  <c r="E24" i="12"/>
  <c r="F24" i="12"/>
  <c r="G24" i="12"/>
  <c r="H24" i="12"/>
  <c r="I24" i="12"/>
  <c r="J24" i="12"/>
  <c r="K24" i="12"/>
  <c r="L24" i="12"/>
  <c r="N22" i="8"/>
  <c r="W54" i="8" s="1"/>
  <c r="T54" i="8" s="1"/>
  <c r="Q54" i="8" s="1"/>
  <c r="O22" i="26"/>
  <c r="Y48" i="26" s="1"/>
  <c r="V48" i="26" s="1"/>
  <c r="R48" i="26" s="1"/>
  <c r="O8" i="1"/>
  <c r="M8" i="4"/>
  <c r="O8" i="5"/>
  <c r="X33" i="5" s="1"/>
  <c r="C8" i="7"/>
  <c r="D8" i="7"/>
  <c r="E8" i="7"/>
  <c r="F8" i="7"/>
  <c r="G8" i="7"/>
  <c r="H8" i="7"/>
  <c r="I8" i="7"/>
  <c r="J8" i="7"/>
  <c r="K8" i="7"/>
  <c r="L8" i="7"/>
  <c r="C13" i="12"/>
  <c r="D13" i="12"/>
  <c r="E13" i="12"/>
  <c r="F13" i="12"/>
  <c r="G13" i="12"/>
  <c r="H13" i="12"/>
  <c r="I13" i="12"/>
  <c r="J13" i="12"/>
  <c r="K13" i="12"/>
  <c r="L13" i="12"/>
  <c r="N11" i="8"/>
  <c r="O11" i="26"/>
  <c r="V11" i="26" s="1"/>
  <c r="B8" i="7"/>
  <c r="V49" i="7" s="1"/>
  <c r="M13" i="12"/>
  <c r="M14" i="12"/>
  <c r="M15" i="12"/>
  <c r="M16" i="12"/>
  <c r="M17" i="12"/>
  <c r="M18" i="12"/>
  <c r="M19" i="12"/>
  <c r="M20" i="12"/>
  <c r="M21" i="12"/>
  <c r="M22" i="12"/>
  <c r="M23" i="12"/>
  <c r="M24" i="12"/>
  <c r="M8" i="7"/>
  <c r="M9" i="7"/>
  <c r="M10" i="7"/>
  <c r="M11" i="7"/>
  <c r="M12" i="7"/>
  <c r="M13" i="7"/>
  <c r="M14" i="7"/>
  <c r="M15" i="7"/>
  <c r="M16" i="7"/>
  <c r="M17" i="7"/>
  <c r="M18" i="7"/>
  <c r="M19" i="7"/>
  <c r="Y38" i="26"/>
  <c r="Y44" i="26"/>
  <c r="X38" i="26"/>
  <c r="U38" i="26"/>
  <c r="Q38" i="26" s="1"/>
  <c r="X39" i="26"/>
  <c r="U39" i="26" s="1"/>
  <c r="Q39" i="26" s="1"/>
  <c r="X40" i="26"/>
  <c r="U40" i="26" s="1"/>
  <c r="Q40" i="26" s="1"/>
  <c r="X41" i="26"/>
  <c r="U41" i="26" s="1"/>
  <c r="Q41" i="26"/>
  <c r="X42" i="26"/>
  <c r="U42" i="26" s="1"/>
  <c r="Q42" i="26" s="1"/>
  <c r="X43" i="26"/>
  <c r="U43" i="26" s="1"/>
  <c r="Q43" i="26" s="1"/>
  <c r="X44" i="26"/>
  <c r="U44" i="26" s="1"/>
  <c r="Q44" i="26" s="1"/>
  <c r="X45" i="26"/>
  <c r="U45" i="26" s="1"/>
  <c r="Q45" i="26" s="1"/>
  <c r="X46" i="26"/>
  <c r="U46" i="26" s="1"/>
  <c r="Q46" i="26" s="1"/>
  <c r="X47" i="26"/>
  <c r="U47" i="26" s="1"/>
  <c r="Q47" i="26" s="1"/>
  <c r="X48" i="26"/>
  <c r="X37" i="26"/>
  <c r="U37" i="26" s="1"/>
  <c r="D49" i="26"/>
  <c r="D51" i="26" s="1"/>
  <c r="P49" i="26"/>
  <c r="P51" i="26" s="1"/>
  <c r="E49" i="26"/>
  <c r="E51" i="26" s="1"/>
  <c r="U48" i="26"/>
  <c r="Q48" i="26" s="1"/>
  <c r="B23" i="26"/>
  <c r="V44" i="8"/>
  <c r="S44" i="8" s="1"/>
  <c r="P44" i="8" s="1"/>
  <c r="V45" i="8"/>
  <c r="S45" i="8" s="1"/>
  <c r="V46" i="8"/>
  <c r="S46" i="8" s="1"/>
  <c r="P46" i="8" s="1"/>
  <c r="V47" i="8"/>
  <c r="V48" i="8"/>
  <c r="S48" i="8" s="1"/>
  <c r="P48" i="8" s="1"/>
  <c r="V49" i="8"/>
  <c r="S49" i="8" s="1"/>
  <c r="V50" i="8"/>
  <c r="S50" i="8" s="1"/>
  <c r="P50" i="8" s="1"/>
  <c r="V51" i="8"/>
  <c r="S51" i="8" s="1"/>
  <c r="P51" i="8" s="1"/>
  <c r="V52" i="8"/>
  <c r="S52" i="8" s="1"/>
  <c r="P52" i="8" s="1"/>
  <c r="V53" i="8"/>
  <c r="S53" i="8" s="1"/>
  <c r="P53" i="8" s="1"/>
  <c r="V54" i="8"/>
  <c r="S54" i="8" s="1"/>
  <c r="P54" i="8" s="1"/>
  <c r="V43" i="8"/>
  <c r="S43" i="8" s="1"/>
  <c r="P43" i="8" s="1"/>
  <c r="O55" i="8"/>
  <c r="O57" i="8" s="1"/>
  <c r="P49" i="8"/>
  <c r="V94" i="11"/>
  <c r="V95" i="11"/>
  <c r="S95" i="11" s="1"/>
  <c r="P95" i="11" s="1"/>
  <c r="V96" i="11"/>
  <c r="S96" i="11" s="1"/>
  <c r="P96" i="11" s="1"/>
  <c r="V97" i="11"/>
  <c r="S97" i="11" s="1"/>
  <c r="P97" i="11" s="1"/>
  <c r="V98" i="11"/>
  <c r="S98" i="11" s="1"/>
  <c r="P98" i="11" s="1"/>
  <c r="V99" i="11"/>
  <c r="S99" i="11" s="1"/>
  <c r="P99" i="11" s="1"/>
  <c r="V100" i="11"/>
  <c r="S100" i="11" s="1"/>
  <c r="P100" i="11" s="1"/>
  <c r="V101" i="11"/>
  <c r="S101" i="11" s="1"/>
  <c r="V102" i="11"/>
  <c r="S102" i="11" s="1"/>
  <c r="P102" i="11" s="1"/>
  <c r="V103" i="11"/>
  <c r="S103" i="11" s="1"/>
  <c r="P103" i="11" s="1"/>
  <c r="V104" i="11"/>
  <c r="S104" i="11" s="1"/>
  <c r="P104" i="11"/>
  <c r="V105" i="11"/>
  <c r="N6" i="11"/>
  <c r="N7" i="11"/>
  <c r="W74" i="11"/>
  <c r="T74" i="11" s="1"/>
  <c r="Q74" i="11" s="1"/>
  <c r="N8" i="11"/>
  <c r="W75" i="11" s="1"/>
  <c r="N9" i="11"/>
  <c r="W76" i="11" s="1"/>
  <c r="N10" i="11"/>
  <c r="W77" i="11" s="1"/>
  <c r="N11" i="11"/>
  <c r="W78" i="11" s="1"/>
  <c r="N12" i="11"/>
  <c r="W79" i="11" s="1"/>
  <c r="N13" i="11"/>
  <c r="W80" i="11" s="1"/>
  <c r="N14" i="11"/>
  <c r="N15" i="11"/>
  <c r="W82" i="11"/>
  <c r="N16" i="11"/>
  <c r="W83" i="11" s="1"/>
  <c r="N17" i="11"/>
  <c r="W84" i="11" s="1"/>
  <c r="T84" i="11" s="1"/>
  <c r="Q84" i="11" s="1"/>
  <c r="V73" i="11"/>
  <c r="S73" i="11" s="1"/>
  <c r="V74" i="11"/>
  <c r="S74" i="11" s="1"/>
  <c r="P74" i="11" s="1"/>
  <c r="V75" i="11"/>
  <c r="V76" i="11"/>
  <c r="S76" i="11" s="1"/>
  <c r="P76" i="11" s="1"/>
  <c r="V77" i="11"/>
  <c r="S77" i="11"/>
  <c r="P77" i="11" s="1"/>
  <c r="V78" i="11"/>
  <c r="V79" i="11"/>
  <c r="S79" i="11" s="1"/>
  <c r="P79" i="11" s="1"/>
  <c r="V80" i="11"/>
  <c r="S80" i="11" s="1"/>
  <c r="V81" i="11"/>
  <c r="S81" i="11" s="1"/>
  <c r="P81" i="11" s="1"/>
  <c r="V82" i="11"/>
  <c r="V83" i="11"/>
  <c r="S83" i="11" s="1"/>
  <c r="P83" i="11" s="1"/>
  <c r="V84" i="11"/>
  <c r="S84" i="11" s="1"/>
  <c r="P84" i="11" s="1"/>
  <c r="B9" i="7"/>
  <c r="V50" i="7" s="1"/>
  <c r="S50" i="7" s="1"/>
  <c r="P50" i="7" s="1"/>
  <c r="B10" i="7"/>
  <c r="B11" i="7"/>
  <c r="V52" i="7" s="1"/>
  <c r="B12" i="7"/>
  <c r="V53" i="7" s="1"/>
  <c r="S53" i="7" s="1"/>
  <c r="P53" i="7" s="1"/>
  <c r="B13" i="7"/>
  <c r="V54" i="7" s="1"/>
  <c r="S54" i="7" s="1"/>
  <c r="P54" i="7" s="1"/>
  <c r="B14" i="7"/>
  <c r="V55" i="7" s="1"/>
  <c r="B15" i="7"/>
  <c r="B16" i="7"/>
  <c r="V57" i="7" s="1"/>
  <c r="B17" i="7"/>
  <c r="V58" i="7" s="1"/>
  <c r="B18" i="7"/>
  <c r="B19" i="7"/>
  <c r="V60" i="7" s="1"/>
  <c r="W33" i="5"/>
  <c r="W34" i="5"/>
  <c r="T34" i="5" s="1"/>
  <c r="Q34" i="5" s="1"/>
  <c r="W35" i="5"/>
  <c r="T35" i="5" s="1"/>
  <c r="Q35" i="5" s="1"/>
  <c r="W36" i="5"/>
  <c r="W37" i="5"/>
  <c r="W38" i="5"/>
  <c r="T38" i="5" s="1"/>
  <c r="Q38" i="5" s="1"/>
  <c r="W39" i="5"/>
  <c r="T39" i="5" s="1"/>
  <c r="Q39" i="5" s="1"/>
  <c r="W40" i="5"/>
  <c r="T40" i="5" s="1"/>
  <c r="Q40" i="5" s="1"/>
  <c r="W41" i="5"/>
  <c r="W42" i="5"/>
  <c r="T42" i="5" s="1"/>
  <c r="Q42" i="5" s="1"/>
  <c r="W43" i="5"/>
  <c r="T43" i="5" s="1"/>
  <c r="Q43" i="5" s="1"/>
  <c r="W44" i="5"/>
  <c r="T44" i="5" s="1"/>
  <c r="Q44" i="5" s="1"/>
  <c r="U33" i="4"/>
  <c r="R33" i="4" s="1"/>
  <c r="U34" i="4"/>
  <c r="R34" i="4" s="1"/>
  <c r="O34" i="4" s="1"/>
  <c r="U35" i="4"/>
  <c r="R35" i="4" s="1"/>
  <c r="O35" i="4" s="1"/>
  <c r="U36" i="4"/>
  <c r="R36" i="4" s="1"/>
  <c r="O36" i="4" s="1"/>
  <c r="U37" i="4"/>
  <c r="R37" i="4" s="1"/>
  <c r="O37" i="4" s="1"/>
  <c r="U38" i="4"/>
  <c r="R38" i="4" s="1"/>
  <c r="O38" i="4" s="1"/>
  <c r="U39" i="4"/>
  <c r="R39" i="4" s="1"/>
  <c r="O39" i="4" s="1"/>
  <c r="U40" i="4"/>
  <c r="R40" i="4" s="1"/>
  <c r="O40" i="4" s="1"/>
  <c r="U41" i="4"/>
  <c r="U42" i="4"/>
  <c r="R42" i="4" s="1"/>
  <c r="O42" i="4" s="1"/>
  <c r="U43" i="4"/>
  <c r="R43" i="4" s="1"/>
  <c r="O43" i="4" s="1"/>
  <c r="U44" i="4"/>
  <c r="R44" i="4" s="1"/>
  <c r="O44" i="4" s="1"/>
  <c r="N75" i="11"/>
  <c r="N96" i="11"/>
  <c r="N76" i="11"/>
  <c r="N97" i="11"/>
  <c r="N77" i="11"/>
  <c r="N98" i="11"/>
  <c r="N119" i="11"/>
  <c r="N78" i="11"/>
  <c r="N99" i="11"/>
  <c r="N120" i="11"/>
  <c r="T120" i="11" s="1"/>
  <c r="Q120" i="11" s="1"/>
  <c r="N79" i="11"/>
  <c r="O45" i="12" s="1"/>
  <c r="N100" i="11"/>
  <c r="N121" i="11"/>
  <c r="N80" i="11"/>
  <c r="N101" i="11"/>
  <c r="O46" i="12" s="1"/>
  <c r="N122" i="11"/>
  <c r="N81" i="11"/>
  <c r="N102" i="11"/>
  <c r="N123" i="11"/>
  <c r="N82" i="11"/>
  <c r="N103" i="11"/>
  <c r="N124" i="11"/>
  <c r="T83" i="11"/>
  <c r="Q83" i="11" s="1"/>
  <c r="N125" i="11"/>
  <c r="O49" i="12" s="1"/>
  <c r="N126" i="11"/>
  <c r="N55" i="11"/>
  <c r="W122" i="11" s="1"/>
  <c r="T122" i="11" s="1"/>
  <c r="Q122" i="11" s="1"/>
  <c r="N54" i="11"/>
  <c r="N53" i="11"/>
  <c r="W120" i="11" s="1"/>
  <c r="V121" i="11"/>
  <c r="V122" i="11"/>
  <c r="S122" i="11" s="1"/>
  <c r="P122" i="11" s="1"/>
  <c r="V120" i="11"/>
  <c r="S120" i="11" s="1"/>
  <c r="P120" i="11" s="1"/>
  <c r="C106" i="11"/>
  <c r="C108" i="11" s="1"/>
  <c r="D106" i="11"/>
  <c r="D108" i="11" s="1"/>
  <c r="E106" i="11"/>
  <c r="E108" i="11" s="1"/>
  <c r="F106" i="11"/>
  <c r="F108" i="11" s="1"/>
  <c r="G106" i="11"/>
  <c r="G108" i="11" s="1"/>
  <c r="H106" i="11"/>
  <c r="H108" i="11" s="1"/>
  <c r="I106" i="11"/>
  <c r="I108" i="11" s="1"/>
  <c r="J106" i="11"/>
  <c r="J108" i="11" s="1"/>
  <c r="K106" i="11"/>
  <c r="K108" i="11" s="1"/>
  <c r="L106" i="11"/>
  <c r="L108" i="11"/>
  <c r="M106" i="11"/>
  <c r="M108" i="11" s="1"/>
  <c r="O106" i="11"/>
  <c r="O108" i="11" s="1"/>
  <c r="B106" i="11"/>
  <c r="B108" i="11" s="1"/>
  <c r="N28" i="11"/>
  <c r="N29" i="11"/>
  <c r="W96" i="11" s="1"/>
  <c r="N30" i="11"/>
  <c r="W97" i="11" s="1"/>
  <c r="N27" i="11"/>
  <c r="N31" i="11"/>
  <c r="W98" i="11" s="1"/>
  <c r="N32" i="11"/>
  <c r="W99" i="11" s="1"/>
  <c r="T99" i="11" s="1"/>
  <c r="Q99" i="11" s="1"/>
  <c r="N33" i="11"/>
  <c r="W100" i="11" s="1"/>
  <c r="T100" i="11" s="1"/>
  <c r="Q100" i="11" s="1"/>
  <c r="N34" i="11"/>
  <c r="W101" i="11" s="1"/>
  <c r="N35" i="11"/>
  <c r="N36" i="11"/>
  <c r="W103" i="11" s="1"/>
  <c r="T103" i="11" s="1"/>
  <c r="Q103" i="11" s="1"/>
  <c r="N37" i="11"/>
  <c r="W104" i="11" s="1"/>
  <c r="T104" i="11" s="1"/>
  <c r="Q104" i="11" s="1"/>
  <c r="N38" i="11"/>
  <c r="P101" i="11"/>
  <c r="S105" i="11"/>
  <c r="P105" i="11" s="1"/>
  <c r="O127" i="11"/>
  <c r="O129" i="11" s="1"/>
  <c r="M127" i="11"/>
  <c r="M129" i="11" s="1"/>
  <c r="L127" i="11"/>
  <c r="L129" i="11" s="1"/>
  <c r="K127" i="11"/>
  <c r="K129" i="11" s="1"/>
  <c r="J127" i="11"/>
  <c r="J129" i="11" s="1"/>
  <c r="I127" i="11"/>
  <c r="I129" i="11" s="1"/>
  <c r="H127" i="11"/>
  <c r="H129" i="11" s="1"/>
  <c r="G127" i="11"/>
  <c r="G129" i="11" s="1"/>
  <c r="F127" i="11"/>
  <c r="F129" i="11" s="1"/>
  <c r="E127" i="11"/>
  <c r="E129" i="11" s="1"/>
  <c r="D127" i="11"/>
  <c r="D129" i="11" s="1"/>
  <c r="C127" i="11"/>
  <c r="C129" i="11" s="1"/>
  <c r="B127" i="11"/>
  <c r="B129" i="11" s="1"/>
  <c r="N116" i="11"/>
  <c r="N95" i="11"/>
  <c r="N94" i="11"/>
  <c r="O85" i="11"/>
  <c r="O87" i="11" s="1"/>
  <c r="M85" i="11"/>
  <c r="M87" i="11"/>
  <c r="L85" i="11"/>
  <c r="L87" i="11" s="1"/>
  <c r="K85" i="11"/>
  <c r="K87" i="11" s="1"/>
  <c r="J85" i="11"/>
  <c r="J87" i="11"/>
  <c r="I85" i="11"/>
  <c r="I87" i="11" s="1"/>
  <c r="H85" i="11"/>
  <c r="H87" i="11" s="1"/>
  <c r="G85" i="11"/>
  <c r="G87" i="11" s="1"/>
  <c r="F85" i="11"/>
  <c r="F87" i="11"/>
  <c r="E85" i="11"/>
  <c r="E87" i="11" s="1"/>
  <c r="D85" i="11"/>
  <c r="D87" i="11" s="1"/>
  <c r="C85" i="11"/>
  <c r="C87" i="11"/>
  <c r="B85" i="11"/>
  <c r="B87" i="11" s="1"/>
  <c r="S82" i="11"/>
  <c r="P82" i="11" s="1"/>
  <c r="S78" i="11"/>
  <c r="P78" i="11" s="1"/>
  <c r="S75" i="11"/>
  <c r="P75" i="11" s="1"/>
  <c r="N74" i="11"/>
  <c r="N73" i="11"/>
  <c r="Q68" i="11"/>
  <c r="O74" i="7"/>
  <c r="O73" i="7"/>
  <c r="O75" i="7"/>
  <c r="O76" i="7"/>
  <c r="O77" i="7"/>
  <c r="O79" i="7"/>
  <c r="O81" i="7"/>
  <c r="O82" i="7"/>
  <c r="O83" i="7"/>
  <c r="O84" i="7"/>
  <c r="N122" i="7"/>
  <c r="N121" i="7"/>
  <c r="N120" i="7"/>
  <c r="N119" i="7"/>
  <c r="N118" i="7"/>
  <c r="N117" i="7"/>
  <c r="N116" i="7"/>
  <c r="N115" i="7"/>
  <c r="N114" i="7"/>
  <c r="N106" i="7"/>
  <c r="N105" i="7"/>
  <c r="N101" i="7"/>
  <c r="N99" i="7"/>
  <c r="N98" i="7"/>
  <c r="N97" i="7"/>
  <c r="N96" i="7"/>
  <c r="N95" i="7"/>
  <c r="X36" i="5"/>
  <c r="T37" i="5"/>
  <c r="Q37" i="5" s="1"/>
  <c r="T33" i="5"/>
  <c r="Q33" i="5" s="1"/>
  <c r="B20" i="5"/>
  <c r="B22" i="5" s="1"/>
  <c r="V34" i="4"/>
  <c r="V37" i="4"/>
  <c r="V39" i="4"/>
  <c r="S39" i="4" s="1"/>
  <c r="P39" i="4" s="1"/>
  <c r="V44" i="4"/>
  <c r="S44" i="4" s="1"/>
  <c r="P44" i="4" s="1"/>
  <c r="N45" i="4"/>
  <c r="N47" i="4" s="1"/>
  <c r="K45" i="4"/>
  <c r="K47" i="4" s="1"/>
  <c r="B20" i="4"/>
  <c r="W32" i="1"/>
  <c r="T32" i="1"/>
  <c r="Q32" i="1" s="1"/>
  <c r="W33" i="1"/>
  <c r="T33" i="1" s="1"/>
  <c r="Q33" i="1" s="1"/>
  <c r="W34" i="1"/>
  <c r="T34" i="1" s="1"/>
  <c r="Q34" i="1" s="1"/>
  <c r="W35" i="1"/>
  <c r="T35" i="1" s="1"/>
  <c r="Q35" i="1" s="1"/>
  <c r="W36" i="1"/>
  <c r="T36" i="1" s="1"/>
  <c r="Q36" i="1" s="1"/>
  <c r="W37" i="1"/>
  <c r="T37" i="1" s="1"/>
  <c r="Q37" i="1" s="1"/>
  <c r="W38" i="1"/>
  <c r="T38" i="1"/>
  <c r="Q38" i="1" s="1"/>
  <c r="W39" i="1"/>
  <c r="T39" i="1" s="1"/>
  <c r="Q39" i="1" s="1"/>
  <c r="W40" i="1"/>
  <c r="T40" i="1" s="1"/>
  <c r="Q40" i="1" s="1"/>
  <c r="W41" i="1"/>
  <c r="T41" i="1" s="1"/>
  <c r="Q41" i="1" s="1"/>
  <c r="W42" i="1"/>
  <c r="T42" i="1" s="1"/>
  <c r="Q42" i="1" s="1"/>
  <c r="W31" i="1"/>
  <c r="T31" i="1" s="1"/>
  <c r="P43" i="1"/>
  <c r="P45" i="1" s="1"/>
  <c r="L43" i="1"/>
  <c r="L45" i="1" s="1"/>
  <c r="S47" i="8"/>
  <c r="P47" i="8" s="1"/>
  <c r="O33" i="4"/>
  <c r="W48" i="8"/>
  <c r="T48" i="8" s="1"/>
  <c r="Q48" i="8" s="1"/>
  <c r="W51" i="8"/>
  <c r="W52" i="8"/>
  <c r="X32" i="1"/>
  <c r="X40" i="1"/>
  <c r="U11" i="26"/>
  <c r="Q11" i="26"/>
  <c r="U12" i="26"/>
  <c r="Q12" i="26" s="1"/>
  <c r="U13" i="26"/>
  <c r="U14" i="26"/>
  <c r="U15" i="26"/>
  <c r="Q15" i="26" s="1"/>
  <c r="U16" i="26"/>
  <c r="Q16" i="26" s="1"/>
  <c r="U17" i="26"/>
  <c r="Q17" i="26" s="1"/>
  <c r="U18" i="26"/>
  <c r="Q18" i="26"/>
  <c r="U19" i="26"/>
  <c r="Q19" i="26" s="1"/>
  <c r="U20" i="26"/>
  <c r="U21" i="26"/>
  <c r="Q21" i="26" s="1"/>
  <c r="U22" i="26"/>
  <c r="Q22" i="26" s="1"/>
  <c r="X23" i="26"/>
  <c r="N38" i="7"/>
  <c r="B19" i="12"/>
  <c r="B14" i="12"/>
  <c r="B15" i="12"/>
  <c r="B16" i="12"/>
  <c r="V42" i="12" s="1"/>
  <c r="B17" i="12"/>
  <c r="B18" i="12"/>
  <c r="V44" i="12" s="1"/>
  <c r="B20" i="12"/>
  <c r="B21" i="12"/>
  <c r="B22" i="12"/>
  <c r="B23" i="12"/>
  <c r="P23" i="12" s="1"/>
  <c r="B24" i="12"/>
  <c r="V50" i="12" s="1"/>
  <c r="B13" i="12"/>
  <c r="P13" i="12" s="1"/>
  <c r="N51" i="7"/>
  <c r="N52" i="7"/>
  <c r="N32" i="7"/>
  <c r="N49" i="11"/>
  <c r="V18" i="26"/>
  <c r="R18" i="26" s="1"/>
  <c r="V19" i="26"/>
  <c r="R19" i="26" s="1"/>
  <c r="V20" i="26"/>
  <c r="R20" i="26" s="1"/>
  <c r="P23" i="26"/>
  <c r="P25" i="26" s="1"/>
  <c r="N23" i="26"/>
  <c r="M23" i="26"/>
  <c r="M25" i="26" s="1"/>
  <c r="L23" i="26"/>
  <c r="L25" i="26" s="1"/>
  <c r="K23" i="26"/>
  <c r="K25" i="26" s="1"/>
  <c r="J23" i="26"/>
  <c r="J25" i="26" s="1"/>
  <c r="I23" i="26"/>
  <c r="I25" i="26" s="1"/>
  <c r="H23" i="26"/>
  <c r="H25" i="26" s="1"/>
  <c r="G23" i="26"/>
  <c r="G25" i="26" s="1"/>
  <c r="F23" i="26"/>
  <c r="F25" i="26" s="1"/>
  <c r="E23" i="26"/>
  <c r="E25" i="26" s="1"/>
  <c r="D23" i="26"/>
  <c r="D25" i="26" s="1"/>
  <c r="C23" i="26"/>
  <c r="C25" i="26" s="1"/>
  <c r="Q20" i="26"/>
  <c r="Q13" i="26"/>
  <c r="Y23" i="26"/>
  <c r="O23" i="8"/>
  <c r="O25" i="8" s="1"/>
  <c r="M23" i="8"/>
  <c r="M25" i="8" s="1"/>
  <c r="L23" i="8"/>
  <c r="L25" i="8" s="1"/>
  <c r="K23" i="8"/>
  <c r="K25" i="8" s="1"/>
  <c r="J23" i="8"/>
  <c r="J25" i="8" s="1"/>
  <c r="I23" i="8"/>
  <c r="I25" i="8" s="1"/>
  <c r="H23" i="8"/>
  <c r="H25" i="8" s="1"/>
  <c r="G23" i="8"/>
  <c r="G25" i="8" s="1"/>
  <c r="F23" i="8"/>
  <c r="F25" i="8" s="1"/>
  <c r="E23" i="8"/>
  <c r="E25" i="8" s="1"/>
  <c r="D23" i="8"/>
  <c r="D25" i="8" s="1"/>
  <c r="C23" i="8"/>
  <c r="C25" i="8" s="1"/>
  <c r="B23" i="8"/>
  <c r="B25" i="8" s="1"/>
  <c r="P22" i="8"/>
  <c r="P21" i="8"/>
  <c r="P19" i="8"/>
  <c r="P18" i="8"/>
  <c r="P17" i="8"/>
  <c r="P16" i="8"/>
  <c r="P15" i="8"/>
  <c r="P14" i="8"/>
  <c r="P13" i="8"/>
  <c r="P12" i="8"/>
  <c r="P11" i="8"/>
  <c r="O14" i="12"/>
  <c r="O15" i="12"/>
  <c r="O16" i="12"/>
  <c r="O18" i="12"/>
  <c r="O19" i="12"/>
  <c r="O20" i="12"/>
  <c r="O21" i="12"/>
  <c r="O22" i="12"/>
  <c r="O23" i="12"/>
  <c r="O24" i="12"/>
  <c r="O13" i="12"/>
  <c r="O60" i="11"/>
  <c r="O62" i="11" s="1"/>
  <c r="M60" i="11"/>
  <c r="M62" i="11" s="1"/>
  <c r="L60" i="11"/>
  <c r="L62" i="11"/>
  <c r="K60" i="11"/>
  <c r="K62" i="11" s="1"/>
  <c r="J60" i="11"/>
  <c r="J62" i="11" s="1"/>
  <c r="I60" i="11"/>
  <c r="I62" i="11" s="1"/>
  <c r="H60" i="11"/>
  <c r="H62" i="11" s="1"/>
  <c r="G60" i="11"/>
  <c r="G62" i="11" s="1"/>
  <c r="F60" i="11"/>
  <c r="F62" i="11" s="1"/>
  <c r="E60" i="11"/>
  <c r="E62" i="11" s="1"/>
  <c r="D60" i="11"/>
  <c r="D62" i="11" s="1"/>
  <c r="C60" i="11"/>
  <c r="C62" i="11" s="1"/>
  <c r="B60" i="11"/>
  <c r="B62" i="11" s="1"/>
  <c r="N59" i="11"/>
  <c r="N58" i="11"/>
  <c r="N57" i="11"/>
  <c r="N56" i="11"/>
  <c r="N52" i="11"/>
  <c r="M39" i="11"/>
  <c r="M41" i="11" s="1"/>
  <c r="L39" i="11"/>
  <c r="L41" i="11" s="1"/>
  <c r="K39" i="11"/>
  <c r="K41" i="11"/>
  <c r="J39" i="11"/>
  <c r="J41" i="11" s="1"/>
  <c r="I39" i="11"/>
  <c r="I41" i="11"/>
  <c r="H39" i="11"/>
  <c r="H41" i="11" s="1"/>
  <c r="G39" i="11"/>
  <c r="G41" i="11" s="1"/>
  <c r="F39" i="11"/>
  <c r="F41" i="11" s="1"/>
  <c r="E39" i="11"/>
  <c r="E41" i="11" s="1"/>
  <c r="D39" i="11"/>
  <c r="D41" i="11" s="1"/>
  <c r="C39" i="11"/>
  <c r="C41" i="11"/>
  <c r="B39" i="11"/>
  <c r="B41" i="11" s="1"/>
  <c r="O18" i="11"/>
  <c r="O20" i="11" s="1"/>
  <c r="M18" i="11"/>
  <c r="M20" i="11" s="1"/>
  <c r="L18" i="11"/>
  <c r="L20" i="11"/>
  <c r="K18" i="11"/>
  <c r="K20" i="11" s="1"/>
  <c r="J18" i="11"/>
  <c r="J20" i="11" s="1"/>
  <c r="I18" i="11"/>
  <c r="I20" i="11" s="1"/>
  <c r="H18" i="11"/>
  <c r="H20" i="11" s="1"/>
  <c r="G18" i="11"/>
  <c r="G20" i="11" s="1"/>
  <c r="F18" i="11"/>
  <c r="F20" i="11"/>
  <c r="E18" i="11"/>
  <c r="E20" i="11" s="1"/>
  <c r="D18" i="11"/>
  <c r="D20" i="11" s="1"/>
  <c r="C18" i="11"/>
  <c r="C20" i="11" s="1"/>
  <c r="B18" i="11"/>
  <c r="B20" i="11" s="1"/>
  <c r="O17" i="12"/>
  <c r="O39" i="11"/>
  <c r="O41" i="11" s="1"/>
  <c r="O8" i="7"/>
  <c r="O20" i="7" s="1"/>
  <c r="O22" i="7" s="1"/>
  <c r="N60" i="7"/>
  <c r="N59" i="7"/>
  <c r="N58" i="7"/>
  <c r="N57" i="7"/>
  <c r="N56" i="7"/>
  <c r="N55" i="7"/>
  <c r="N54" i="7"/>
  <c r="N53" i="7"/>
  <c r="N50" i="7"/>
  <c r="N41" i="7"/>
  <c r="N40" i="7"/>
  <c r="N39" i="7"/>
  <c r="N37" i="7"/>
  <c r="N36" i="7"/>
  <c r="N35" i="7"/>
  <c r="N34" i="7"/>
  <c r="N33" i="7"/>
  <c r="N31" i="7"/>
  <c r="N30" i="7"/>
  <c r="P20" i="5"/>
  <c r="P22" i="5" s="1"/>
  <c r="N20" i="5"/>
  <c r="N22" i="5" s="1"/>
  <c r="M20" i="5"/>
  <c r="M22" i="5" s="1"/>
  <c r="L20" i="5"/>
  <c r="L22" i="5" s="1"/>
  <c r="K20" i="5"/>
  <c r="K22" i="5" s="1"/>
  <c r="J20" i="5"/>
  <c r="J22" i="5" s="1"/>
  <c r="I20" i="5"/>
  <c r="I22" i="5" s="1"/>
  <c r="H20" i="5"/>
  <c r="H22" i="5"/>
  <c r="G20" i="5"/>
  <c r="G22" i="5" s="1"/>
  <c r="F20" i="5"/>
  <c r="F22" i="5" s="1"/>
  <c r="E20" i="5"/>
  <c r="E22" i="5" s="1"/>
  <c r="D20" i="5"/>
  <c r="D22" i="5" s="1"/>
  <c r="C20" i="5"/>
  <c r="C22" i="5" s="1"/>
  <c r="Q19" i="5"/>
  <c r="Q18" i="5"/>
  <c r="Q17" i="5"/>
  <c r="Q16" i="5"/>
  <c r="Q15" i="5"/>
  <c r="Q14" i="5"/>
  <c r="Q13" i="5"/>
  <c r="Q12" i="5"/>
  <c r="Q11" i="5"/>
  <c r="Q10" i="5"/>
  <c r="Q9" i="5"/>
  <c r="N20" i="4"/>
  <c r="N22" i="4" s="1"/>
  <c r="L20" i="4"/>
  <c r="L22" i="4" s="1"/>
  <c r="K20" i="4"/>
  <c r="K22" i="4" s="1"/>
  <c r="J20" i="4"/>
  <c r="J22" i="4" s="1"/>
  <c r="I20" i="4"/>
  <c r="I22" i="4" s="1"/>
  <c r="H20" i="4"/>
  <c r="H22" i="4" s="1"/>
  <c r="G20" i="4"/>
  <c r="G22" i="4" s="1"/>
  <c r="F20" i="4"/>
  <c r="F22" i="4" s="1"/>
  <c r="E20" i="4"/>
  <c r="E22" i="4" s="1"/>
  <c r="D20" i="4"/>
  <c r="D22" i="4" s="1"/>
  <c r="C20" i="4"/>
  <c r="C22" i="4" s="1"/>
  <c r="N20" i="1"/>
  <c r="N22" i="1" s="1"/>
  <c r="M20" i="1"/>
  <c r="M22" i="1" s="1"/>
  <c r="L20" i="1"/>
  <c r="L22" i="1" s="1"/>
  <c r="K20" i="1"/>
  <c r="K22" i="1" s="1"/>
  <c r="J20" i="1"/>
  <c r="J22" i="1"/>
  <c r="I20" i="1"/>
  <c r="I22" i="1" s="1"/>
  <c r="H20" i="1"/>
  <c r="H22" i="1" s="1"/>
  <c r="G20" i="1"/>
  <c r="G22" i="1" s="1"/>
  <c r="F20" i="1"/>
  <c r="F22" i="1"/>
  <c r="E20" i="1"/>
  <c r="E22" i="1" s="1"/>
  <c r="D20" i="1"/>
  <c r="D22" i="1" s="1"/>
  <c r="C20" i="1"/>
  <c r="C22" i="1" s="1"/>
  <c r="B20" i="1"/>
  <c r="B22" i="1" s="1"/>
  <c r="N49" i="7"/>
  <c r="Q8" i="5"/>
  <c r="N18" i="11"/>
  <c r="N20" i="11" s="1"/>
  <c r="V15" i="26"/>
  <c r="R15" i="26" s="1"/>
  <c r="P18" i="12"/>
  <c r="P24" i="12"/>
  <c r="P16" i="12"/>
  <c r="W43" i="8"/>
  <c r="P19" i="12"/>
  <c r="V45" i="12"/>
  <c r="Q14" i="26"/>
  <c r="V55" i="8"/>
  <c r="V51" i="7"/>
  <c r="S51" i="7" s="1"/>
  <c r="P51" i="7" s="1"/>
  <c r="S121" i="11"/>
  <c r="P121" i="11" s="1"/>
  <c r="V127" i="11"/>
  <c r="O50" i="12"/>
  <c r="V43" i="4"/>
  <c r="V35" i="4"/>
  <c r="T77" i="11"/>
  <c r="Q77" i="11" s="1"/>
  <c r="T79" i="11"/>
  <c r="Q79" i="11" s="1"/>
  <c r="F51" i="26"/>
  <c r="O44" i="12"/>
  <c r="W73" i="11"/>
  <c r="T73" i="11" s="1"/>
  <c r="Q73" i="11" s="1"/>
  <c r="W102" i="11"/>
  <c r="P22" i="12"/>
  <c r="V48" i="12"/>
  <c r="W105" i="11"/>
  <c r="T105" i="11" s="1"/>
  <c r="Q105" i="11" s="1"/>
  <c r="W95" i="11"/>
  <c r="T95" i="11" s="1"/>
  <c r="Q95" i="11" s="1"/>
  <c r="P80" i="11"/>
  <c r="T51" i="8"/>
  <c r="Q51" i="8" s="1"/>
  <c r="X35" i="1"/>
  <c r="U35" i="1" s="1"/>
  <c r="R35" i="1" s="1"/>
  <c r="X31" i="1"/>
  <c r="U31" i="1" s="1"/>
  <c r="R31" i="1" s="1"/>
  <c r="Q31" i="1"/>
  <c r="O47" i="12" l="1"/>
  <c r="O43" i="12"/>
  <c r="N14" i="7"/>
  <c r="O20" i="1"/>
  <c r="O22" i="1" s="1"/>
  <c r="W45" i="5"/>
  <c r="N127" i="11"/>
  <c r="N129" i="11" s="1"/>
  <c r="T101" i="11"/>
  <c r="Q101" i="11" s="1"/>
  <c r="T75" i="11"/>
  <c r="Q75" i="11" s="1"/>
  <c r="S58" i="7"/>
  <c r="P58" i="7" s="1"/>
  <c r="S55" i="7"/>
  <c r="P55" i="7" s="1"/>
  <c r="L20" i="7"/>
  <c r="L22" i="7" s="1"/>
  <c r="H20" i="7"/>
  <c r="H22" i="7" s="1"/>
  <c r="D20" i="7"/>
  <c r="D22" i="7" s="1"/>
  <c r="S57" i="7"/>
  <c r="P57" i="7" s="1"/>
  <c r="N102" i="7"/>
  <c r="N20" i="12"/>
  <c r="W46" i="12" s="1"/>
  <c r="T46" i="12" s="1"/>
  <c r="Q46" i="12" s="1"/>
  <c r="V21" i="26"/>
  <c r="R21" i="26" s="1"/>
  <c r="Y39" i="26"/>
  <c r="S48" i="12"/>
  <c r="P48" i="12" s="1"/>
  <c r="V39" i="26"/>
  <c r="R39" i="26" s="1"/>
  <c r="E45" i="5"/>
  <c r="E47" i="5" s="1"/>
  <c r="M51" i="26"/>
  <c r="N84" i="7"/>
  <c r="L85" i="7"/>
  <c r="L87" i="7" s="1"/>
  <c r="N47" i="5"/>
  <c r="W47" i="8"/>
  <c r="T47" i="8" s="1"/>
  <c r="Q47" i="8" s="1"/>
  <c r="T53" i="8"/>
  <c r="Q53" i="8" s="1"/>
  <c r="T49" i="8"/>
  <c r="Q49" i="8" s="1"/>
  <c r="I57" i="8"/>
  <c r="T43" i="8"/>
  <c r="Q43" i="8" s="1"/>
  <c r="T45" i="8"/>
  <c r="Q45" i="8" s="1"/>
  <c r="T46" i="8"/>
  <c r="Q46" i="8" s="1"/>
  <c r="P45" i="8"/>
  <c r="S55" i="8"/>
  <c r="P55" i="8" s="1"/>
  <c r="T50" i="8"/>
  <c r="Q50" i="8" s="1"/>
  <c r="J57" i="8"/>
  <c r="N23" i="8"/>
  <c r="G57" i="8"/>
  <c r="H57" i="8"/>
  <c r="J25" i="12"/>
  <c r="J27" i="12" s="1"/>
  <c r="N24" i="12"/>
  <c r="W50" i="12" s="1"/>
  <c r="N21" i="12"/>
  <c r="W47" i="12" s="1"/>
  <c r="N39" i="12"/>
  <c r="I51" i="12"/>
  <c r="I53" i="12" s="1"/>
  <c r="S42" i="12"/>
  <c r="P42" i="12" s="1"/>
  <c r="J51" i="12"/>
  <c r="J53" i="12" s="1"/>
  <c r="M25" i="12"/>
  <c r="M27" i="12" s="1"/>
  <c r="B51" i="12"/>
  <c r="B53" i="12" s="1"/>
  <c r="V49" i="12"/>
  <c r="S49" i="12" s="1"/>
  <c r="P49" i="12" s="1"/>
  <c r="S50" i="12"/>
  <c r="P50" i="12" s="1"/>
  <c r="S45" i="12"/>
  <c r="P45" i="12" s="1"/>
  <c r="K25" i="12"/>
  <c r="N13" i="12"/>
  <c r="N17" i="12"/>
  <c r="W43" i="12" s="1"/>
  <c r="N16" i="12"/>
  <c r="W42" i="12" s="1"/>
  <c r="T42" i="12" s="1"/>
  <c r="Q42" i="12" s="1"/>
  <c r="D25" i="12"/>
  <c r="D27" i="12" s="1"/>
  <c r="I25" i="12"/>
  <c r="I27" i="12" s="1"/>
  <c r="N45" i="12"/>
  <c r="N47" i="12"/>
  <c r="T47" i="12" s="1"/>
  <c r="Q47" i="12" s="1"/>
  <c r="N43" i="12"/>
  <c r="W39" i="12"/>
  <c r="P73" i="11"/>
  <c r="S85" i="11"/>
  <c r="N39" i="11"/>
  <c r="N41" i="11" s="1"/>
  <c r="M51" i="12"/>
  <c r="M53" i="12" s="1"/>
  <c r="S94" i="11"/>
  <c r="V106" i="11"/>
  <c r="H25" i="12"/>
  <c r="H27" i="12" s="1"/>
  <c r="E25" i="12"/>
  <c r="E27" i="12" s="1"/>
  <c r="N41" i="12"/>
  <c r="N14" i="12"/>
  <c r="W40" i="12" s="1"/>
  <c r="T40" i="12" s="1"/>
  <c r="Q40" i="12" s="1"/>
  <c r="O25" i="12"/>
  <c r="O27" i="12" s="1"/>
  <c r="V47" i="12"/>
  <c r="S47" i="12" s="1"/>
  <c r="P47" i="12" s="1"/>
  <c r="P21" i="12"/>
  <c r="T97" i="11"/>
  <c r="Q97" i="11" s="1"/>
  <c r="F25" i="12"/>
  <c r="F27" i="12" s="1"/>
  <c r="N19" i="12"/>
  <c r="W45" i="12" s="1"/>
  <c r="V85" i="11"/>
  <c r="T102" i="11"/>
  <c r="Q102" i="11" s="1"/>
  <c r="T98" i="11"/>
  <c r="Q98" i="11" s="1"/>
  <c r="S44" i="12"/>
  <c r="P44" i="12" s="1"/>
  <c r="T78" i="11"/>
  <c r="Q78" i="11" s="1"/>
  <c r="L25" i="12"/>
  <c r="L27" i="12" s="1"/>
  <c r="E51" i="12"/>
  <c r="E53" i="12" s="1"/>
  <c r="F51" i="12"/>
  <c r="T96" i="11"/>
  <c r="Q96" i="11" s="1"/>
  <c r="N50" i="12"/>
  <c r="T50" i="12" s="1"/>
  <c r="Q50" i="12" s="1"/>
  <c r="D51" i="12"/>
  <c r="D53" i="12" s="1"/>
  <c r="L51" i="12"/>
  <c r="X49" i="26"/>
  <c r="Y37" i="26"/>
  <c r="K51" i="26"/>
  <c r="V22" i="26"/>
  <c r="R22" i="26" s="1"/>
  <c r="V16" i="26"/>
  <c r="R16" i="26" s="1"/>
  <c r="V38" i="26"/>
  <c r="R38" i="26" s="1"/>
  <c r="V44" i="26"/>
  <c r="R44" i="26" s="1"/>
  <c r="V37" i="26"/>
  <c r="R37" i="26" s="1"/>
  <c r="U49" i="26"/>
  <c r="Q49" i="26" s="1"/>
  <c r="Q37" i="26"/>
  <c r="R11" i="26"/>
  <c r="V42" i="26"/>
  <c r="R42" i="26" s="1"/>
  <c r="Y49" i="26"/>
  <c r="B25" i="26"/>
  <c r="U23" i="26"/>
  <c r="Q23" i="26" s="1"/>
  <c r="O23" i="26"/>
  <c r="O49" i="26"/>
  <c r="V14" i="26"/>
  <c r="R14" i="26" s="1"/>
  <c r="V17" i="26"/>
  <c r="R17" i="26" s="1"/>
  <c r="V46" i="26"/>
  <c r="R46" i="26" s="1"/>
  <c r="L51" i="26"/>
  <c r="G51" i="26"/>
  <c r="M20" i="7"/>
  <c r="M22" i="7" s="1"/>
  <c r="N19" i="7"/>
  <c r="W60" i="7" s="1"/>
  <c r="T60" i="7" s="1"/>
  <c r="Q60" i="7" s="1"/>
  <c r="N13" i="7"/>
  <c r="W54" i="7" s="1"/>
  <c r="J20" i="7"/>
  <c r="J22" i="7" s="1"/>
  <c r="F20" i="7"/>
  <c r="F22" i="7" s="1"/>
  <c r="I20" i="7"/>
  <c r="I22" i="7" s="1"/>
  <c r="E20" i="7"/>
  <c r="E22" i="7" s="1"/>
  <c r="B85" i="7"/>
  <c r="N83" i="7"/>
  <c r="N76" i="7"/>
  <c r="G85" i="7"/>
  <c r="G87" i="7" s="1"/>
  <c r="N74" i="7"/>
  <c r="N77" i="7"/>
  <c r="N78" i="7"/>
  <c r="T54" i="7" s="1"/>
  <c r="Q54" i="7" s="1"/>
  <c r="O85" i="7"/>
  <c r="O87" i="7" s="1"/>
  <c r="N80" i="7"/>
  <c r="I85" i="7"/>
  <c r="K20" i="7"/>
  <c r="G20" i="7"/>
  <c r="G22" i="7" s="1"/>
  <c r="C20" i="7"/>
  <c r="C22" i="7" s="1"/>
  <c r="N17" i="7"/>
  <c r="N16" i="7"/>
  <c r="W57" i="7" s="1"/>
  <c r="N15" i="7"/>
  <c r="W56" i="7" s="1"/>
  <c r="N11" i="7"/>
  <c r="W52" i="7" s="1"/>
  <c r="N10" i="7"/>
  <c r="W51" i="7" s="1"/>
  <c r="M85" i="7"/>
  <c r="N75" i="7"/>
  <c r="T51" i="7" s="1"/>
  <c r="Q51" i="7" s="1"/>
  <c r="H85" i="7"/>
  <c r="H87" i="7" s="1"/>
  <c r="N73" i="7"/>
  <c r="D85" i="7"/>
  <c r="S60" i="7"/>
  <c r="P60" i="7" s="1"/>
  <c r="V59" i="7"/>
  <c r="S59" i="7" s="1"/>
  <c r="P59" i="7" s="1"/>
  <c r="I87" i="7"/>
  <c r="N8" i="7"/>
  <c r="W55" i="7"/>
  <c r="B20" i="7"/>
  <c r="S49" i="7"/>
  <c r="P49" i="7" s="1"/>
  <c r="J85" i="7"/>
  <c r="J87" i="7" s="1"/>
  <c r="N100" i="7"/>
  <c r="N9" i="7"/>
  <c r="X42" i="5"/>
  <c r="U42" i="5" s="1"/>
  <c r="R42" i="5" s="1"/>
  <c r="U43" i="5"/>
  <c r="R43" i="5" s="1"/>
  <c r="T41" i="5"/>
  <c r="Q41" i="5" s="1"/>
  <c r="O36" i="5"/>
  <c r="U36" i="5" s="1"/>
  <c r="R36" i="5" s="1"/>
  <c r="U33" i="5"/>
  <c r="R33" i="5" s="1"/>
  <c r="X38" i="5"/>
  <c r="U38" i="5" s="1"/>
  <c r="R38" i="5" s="1"/>
  <c r="X37" i="5"/>
  <c r="U37" i="5" s="1"/>
  <c r="R37" i="5" s="1"/>
  <c r="T36" i="5"/>
  <c r="Q36" i="5" s="1"/>
  <c r="X39" i="5"/>
  <c r="U39" i="5" s="1"/>
  <c r="R39" i="5" s="1"/>
  <c r="B45" i="5"/>
  <c r="O20" i="5"/>
  <c r="Q20" i="5"/>
  <c r="U35" i="5"/>
  <c r="R35" i="5" s="1"/>
  <c r="F45" i="5"/>
  <c r="F47" i="5" s="1"/>
  <c r="S43" i="4"/>
  <c r="P43" i="4" s="1"/>
  <c r="S38" i="4"/>
  <c r="P38" i="4" s="1"/>
  <c r="B22" i="4"/>
  <c r="S37" i="4"/>
  <c r="P37" i="4" s="1"/>
  <c r="M35" i="4"/>
  <c r="S35" i="4" s="1"/>
  <c r="P35" i="4" s="1"/>
  <c r="U45" i="4"/>
  <c r="M20" i="4"/>
  <c r="I47" i="4"/>
  <c r="C45" i="4"/>
  <c r="V33" i="4"/>
  <c r="V41" i="4"/>
  <c r="V42" i="4"/>
  <c r="S42" i="4" s="1"/>
  <c r="P42" i="4" s="1"/>
  <c r="B47" i="4"/>
  <c r="V36" i="4"/>
  <c r="S36" i="4" s="1"/>
  <c r="P36" i="4" s="1"/>
  <c r="S34" i="4"/>
  <c r="P34" i="4" s="1"/>
  <c r="B45" i="1"/>
  <c r="U39" i="1"/>
  <c r="R39" i="1" s="1"/>
  <c r="U37" i="1"/>
  <c r="R37" i="1" s="1"/>
  <c r="X42" i="1"/>
  <c r="U42" i="1" s="1"/>
  <c r="R42" i="1" s="1"/>
  <c r="U36" i="1"/>
  <c r="R36" i="1" s="1"/>
  <c r="U32" i="1"/>
  <c r="R32" i="1" s="1"/>
  <c r="T43" i="1"/>
  <c r="U41" i="1"/>
  <c r="R41" i="1" s="1"/>
  <c r="U33" i="1"/>
  <c r="R33" i="1" s="1"/>
  <c r="P20" i="1"/>
  <c r="P22" i="1" s="1"/>
  <c r="W59" i="7"/>
  <c r="T59" i="7" s="1"/>
  <c r="Q59" i="7" s="1"/>
  <c r="O25" i="26"/>
  <c r="P20" i="8"/>
  <c r="P23" i="8"/>
  <c r="V39" i="12"/>
  <c r="B25" i="12"/>
  <c r="B27" i="12" s="1"/>
  <c r="C81" i="7"/>
  <c r="N103" i="7"/>
  <c r="W55" i="8"/>
  <c r="W58" i="7"/>
  <c r="N25" i="8"/>
  <c r="S127" i="11"/>
  <c r="P127" i="11" s="1"/>
  <c r="T55" i="7"/>
  <c r="Q55" i="7" s="1"/>
  <c r="R41" i="4"/>
  <c r="E82" i="7"/>
  <c r="E85" i="7" s="1"/>
  <c r="N104" i="7"/>
  <c r="V40" i="12"/>
  <c r="S40" i="12" s="1"/>
  <c r="P40" i="12" s="1"/>
  <c r="W94" i="11"/>
  <c r="O42" i="12"/>
  <c r="T76" i="11"/>
  <c r="Q76" i="11" s="1"/>
  <c r="V56" i="7"/>
  <c r="W43" i="1"/>
  <c r="X34" i="5"/>
  <c r="K47" i="5"/>
  <c r="C51" i="12"/>
  <c r="H47" i="4"/>
  <c r="M41" i="4"/>
  <c r="M45" i="4" s="1"/>
  <c r="D45" i="4"/>
  <c r="W121" i="11"/>
  <c r="T121" i="11" s="1"/>
  <c r="T82" i="11"/>
  <c r="W81" i="11"/>
  <c r="V46" i="12"/>
  <c r="S46" i="12" s="1"/>
  <c r="P46" i="12" s="1"/>
  <c r="P20" i="12"/>
  <c r="P17" i="12"/>
  <c r="V43" i="12"/>
  <c r="S43" i="12" s="1"/>
  <c r="P43" i="12" s="1"/>
  <c r="V41" i="12"/>
  <c r="S41" i="12" s="1"/>
  <c r="P41" i="12" s="1"/>
  <c r="P15" i="12"/>
  <c r="I45" i="1"/>
  <c r="U40" i="5"/>
  <c r="R40" i="5" s="1"/>
  <c r="N60" i="11"/>
  <c r="N62" i="11" s="1"/>
  <c r="N12" i="7"/>
  <c r="V45" i="26"/>
  <c r="R45" i="26" s="1"/>
  <c r="D45" i="5"/>
  <c r="T80" i="11"/>
  <c r="Q80" i="11" s="1"/>
  <c r="N15" i="12"/>
  <c r="J47" i="4"/>
  <c r="N49" i="12"/>
  <c r="V40" i="26"/>
  <c r="N106" i="11"/>
  <c r="N108" i="11" s="1"/>
  <c r="G25" i="12"/>
  <c r="G27" i="12" s="1"/>
  <c r="G51" i="12"/>
  <c r="G53" i="12" s="1"/>
  <c r="K85" i="7"/>
  <c r="N55" i="8"/>
  <c r="N57" i="8" s="1"/>
  <c r="H45" i="5"/>
  <c r="N22" i="12"/>
  <c r="N18" i="12"/>
  <c r="H51" i="12"/>
  <c r="H53" i="12" s="1"/>
  <c r="O41" i="5"/>
  <c r="U41" i="5" s="1"/>
  <c r="R41" i="5" s="1"/>
  <c r="O43" i="1"/>
  <c r="N23" i="12"/>
  <c r="C25" i="12"/>
  <c r="C27" i="12" s="1"/>
  <c r="T52" i="8"/>
  <c r="Q52" i="8" s="1"/>
  <c r="D57" i="8"/>
  <c r="N48" i="12"/>
  <c r="L47" i="4"/>
  <c r="G47" i="4"/>
  <c r="U40" i="1"/>
  <c r="K45" i="1"/>
  <c r="G45" i="1"/>
  <c r="N85" i="11"/>
  <c r="N87" i="11" s="1"/>
  <c r="Q82" i="11"/>
  <c r="O48" i="12"/>
  <c r="F85" i="7"/>
  <c r="X43" i="1" l="1"/>
  <c r="T43" i="12"/>
  <c r="Q43" i="12" s="1"/>
  <c r="T56" i="7"/>
  <c r="Q56" i="7" s="1"/>
  <c r="C53" i="12"/>
  <c r="M87" i="7"/>
  <c r="D87" i="7"/>
  <c r="T39" i="12"/>
  <c r="Q39" i="12" s="1"/>
  <c r="O51" i="12"/>
  <c r="O53" i="12" s="1"/>
  <c r="F53" i="12"/>
  <c r="I38" i="18"/>
  <c r="T45" i="12"/>
  <c r="Q45" i="12" s="1"/>
  <c r="F38" i="18"/>
  <c r="L53" i="12"/>
  <c r="P94" i="11"/>
  <c r="S106" i="11"/>
  <c r="P106" i="11" s="1"/>
  <c r="P85" i="11"/>
  <c r="H38" i="18"/>
  <c r="V23" i="26"/>
  <c r="R23" i="26" s="1"/>
  <c r="O51" i="26"/>
  <c r="G38" i="18"/>
  <c r="T52" i="7"/>
  <c r="Q52" i="7" s="1"/>
  <c r="B87" i="7"/>
  <c r="W50" i="7"/>
  <c r="T50" i="7" s="1"/>
  <c r="Q50" i="7" s="1"/>
  <c r="N82" i="7"/>
  <c r="T58" i="7" s="1"/>
  <c r="B22" i="7"/>
  <c r="W49" i="7"/>
  <c r="T49" i="7" s="1"/>
  <c r="Q49" i="7" s="1"/>
  <c r="B47" i="5"/>
  <c r="O22" i="5"/>
  <c r="T45" i="5"/>
  <c r="Q45" i="5" s="1"/>
  <c r="O45" i="5"/>
  <c r="S33" i="4"/>
  <c r="P33" i="4" s="1"/>
  <c r="V45" i="4"/>
  <c r="M22" i="4"/>
  <c r="C47" i="4"/>
  <c r="U43" i="1"/>
  <c r="R43" i="1" s="1"/>
  <c r="Q43" i="1"/>
  <c r="E87" i="7"/>
  <c r="T94" i="11"/>
  <c r="W106" i="11"/>
  <c r="V51" i="12"/>
  <c r="S39" i="12"/>
  <c r="R40" i="26"/>
  <c r="V49" i="26"/>
  <c r="R49" i="26" s="1"/>
  <c r="O45" i="1"/>
  <c r="W44" i="12"/>
  <c r="T44" i="12" s="1"/>
  <c r="Q44" i="12" s="1"/>
  <c r="S41" i="4"/>
  <c r="O41" i="4"/>
  <c r="R45" i="4"/>
  <c r="O45" i="4" s="1"/>
  <c r="H47" i="5"/>
  <c r="Q121" i="11"/>
  <c r="T127" i="11"/>
  <c r="S56" i="7"/>
  <c r="V61" i="7"/>
  <c r="W127" i="11"/>
  <c r="T81" i="11"/>
  <c r="Q81" i="11" s="1"/>
  <c r="W85" i="11"/>
  <c r="D47" i="4"/>
  <c r="P14" i="12"/>
  <c r="P25" i="12"/>
  <c r="C85" i="7"/>
  <c r="N81" i="7"/>
  <c r="T57" i="7" s="1"/>
  <c r="Q57" i="7" s="1"/>
  <c r="W48" i="12"/>
  <c r="T48" i="12" s="1"/>
  <c r="Q48" i="12" s="1"/>
  <c r="W41" i="12"/>
  <c r="T41" i="12" s="1"/>
  <c r="Q41" i="12" s="1"/>
  <c r="D47" i="5"/>
  <c r="J38" i="18"/>
  <c r="W53" i="7"/>
  <c r="N20" i="7"/>
  <c r="X45" i="5"/>
  <c r="U34" i="5"/>
  <c r="W49" i="12"/>
  <c r="N25" i="12"/>
  <c r="K38" i="18"/>
  <c r="T55" i="8"/>
  <c r="Q55" i="8" s="1"/>
  <c r="N51" i="12"/>
  <c r="M47" i="4"/>
  <c r="R40" i="1"/>
  <c r="O47" i="5"/>
  <c r="F87" i="7"/>
  <c r="C38" i="18" l="1"/>
  <c r="D38" i="18"/>
  <c r="E38" i="18"/>
  <c r="T53" i="7"/>
  <c r="Q53" i="7" s="1"/>
  <c r="W61" i="7"/>
  <c r="P39" i="12"/>
  <c r="S51" i="12"/>
  <c r="P51" i="12" s="1"/>
  <c r="Q94" i="11"/>
  <c r="T106" i="11"/>
  <c r="Q106" i="11" s="1"/>
  <c r="N22" i="7"/>
  <c r="N85" i="7"/>
  <c r="Q127" i="11"/>
  <c r="P56" i="7"/>
  <c r="S61" i="7"/>
  <c r="P61" i="7" s="1"/>
  <c r="P41" i="4"/>
  <c r="S45" i="4"/>
  <c r="P45" i="4" s="1"/>
  <c r="R34" i="5"/>
  <c r="U45" i="5"/>
  <c r="R45" i="5" s="1"/>
  <c r="T85" i="11"/>
  <c r="Q85" i="11" s="1"/>
  <c r="B38" i="18"/>
  <c r="C87" i="7"/>
  <c r="N27" i="12"/>
  <c r="T49" i="12"/>
  <c r="W51" i="12"/>
  <c r="N53" i="12"/>
  <c r="Q58" i="7"/>
  <c r="T61" i="7" l="1"/>
  <c r="Q61" i="7" s="1"/>
  <c r="N87" i="7"/>
  <c r="Q49" i="12"/>
  <c r="T51" i="12"/>
  <c r="Q51" i="12" s="1"/>
</calcChain>
</file>

<file path=xl/sharedStrings.xml><?xml version="1.0" encoding="utf-8"?>
<sst xmlns="http://schemas.openxmlformats.org/spreadsheetml/2006/main" count="2978" uniqueCount="204">
  <si>
    <t>Månad</t>
  </si>
  <si>
    <t>Pass</t>
  </si>
  <si>
    <t>Personbil</t>
  </si>
  <si>
    <t>Lastbil</t>
  </si>
  <si>
    <t>Buss</t>
  </si>
  <si>
    <t>Traktor</t>
  </si>
  <si>
    <t>Övriga</t>
  </si>
  <si>
    <t>Efterläm.</t>
  </si>
  <si>
    <t>Fordon tot.</t>
  </si>
  <si>
    <t>Fordon</t>
  </si>
  <si>
    <t>Nyttolast</t>
  </si>
  <si>
    <t>Januari</t>
  </si>
  <si>
    <t>Februari</t>
  </si>
  <si>
    <t>Mars</t>
  </si>
  <si>
    <t>April</t>
  </si>
  <si>
    <t>Maj</t>
  </si>
  <si>
    <t>Juni</t>
  </si>
  <si>
    <t>Juli</t>
  </si>
  <si>
    <t>Augusti</t>
  </si>
  <si>
    <t>September</t>
  </si>
  <si>
    <t>Oktober</t>
  </si>
  <si>
    <t>November</t>
  </si>
  <si>
    <t>December</t>
  </si>
  <si>
    <t>Differens</t>
  </si>
  <si>
    <t>Totalt</t>
  </si>
  <si>
    <t>Nytto last</t>
  </si>
  <si>
    <t>Linje</t>
  </si>
  <si>
    <t>Föglölinjen</t>
  </si>
  <si>
    <t>Töftölinjen</t>
  </si>
  <si>
    <t>Södra linjen</t>
  </si>
  <si>
    <t>Norra linjen</t>
  </si>
  <si>
    <t>Ängösund linjen</t>
  </si>
  <si>
    <t>Tvärgående linjen</t>
  </si>
  <si>
    <t>LINJE</t>
  </si>
  <si>
    <t>Förändring i procent</t>
  </si>
  <si>
    <t>Asterholmalinjen</t>
  </si>
  <si>
    <t>Efterlämnade</t>
  </si>
  <si>
    <t>TOTALT</t>
  </si>
  <si>
    <t>TILL ÅLAND</t>
  </si>
  <si>
    <t>GALTBY</t>
  </si>
  <si>
    <t>OSNÄS</t>
  </si>
  <si>
    <t>INRESANDE</t>
  </si>
  <si>
    <t>LASTAT</t>
  </si>
  <si>
    <t>MÅNAD</t>
  </si>
  <si>
    <t>Efterlämn.</t>
  </si>
  <si>
    <t>Bil+husv.</t>
  </si>
  <si>
    <t>Husbil</t>
  </si>
  <si>
    <t>Mc</t>
  </si>
  <si>
    <t>Cykel</t>
  </si>
  <si>
    <t>Husvagn</t>
  </si>
  <si>
    <t>M/S Ejdern</t>
  </si>
  <si>
    <t>Bil+husvagn</t>
  </si>
  <si>
    <t>Bilsläp</t>
  </si>
  <si>
    <t>Båtsläp</t>
  </si>
  <si>
    <t>Traktor+sl</t>
  </si>
  <si>
    <t>Trailer</t>
  </si>
  <si>
    <t>Åva-Jurmolinjen</t>
  </si>
  <si>
    <t>Bil+HV</t>
  </si>
  <si>
    <t>Cyklar</t>
  </si>
  <si>
    <t>M/S VIGGEN</t>
  </si>
  <si>
    <t>M/S GUDINGEN</t>
  </si>
  <si>
    <t>M/S SKIFTET</t>
  </si>
  <si>
    <t>Brändö - Osnäs-linjen</t>
  </si>
  <si>
    <t>Enklinge - Kumlinge-linjen</t>
  </si>
  <si>
    <t>Seglingelinjen</t>
  </si>
  <si>
    <t>Björkölinjen</t>
  </si>
  <si>
    <t>Embarsundlinjen</t>
  </si>
  <si>
    <t>Simskälalinjen</t>
  </si>
  <si>
    <t>Ängösundlinjen</t>
  </si>
  <si>
    <t>Brändö - Osnäslinjen</t>
  </si>
  <si>
    <t>Embarsundslinjen</t>
  </si>
  <si>
    <t>Enklinge - Kumlingelinjen</t>
  </si>
  <si>
    <t>Pass 12</t>
  </si>
  <si>
    <t>Fordon 12</t>
  </si>
  <si>
    <t>Bil+hv</t>
  </si>
  <si>
    <t>P-bil</t>
  </si>
  <si>
    <t>LB</t>
  </si>
  <si>
    <t>Övr.</t>
  </si>
  <si>
    <t>Pass 13</t>
  </si>
  <si>
    <t>Pass 14</t>
  </si>
  <si>
    <t>Fordon 13</t>
  </si>
  <si>
    <t>-</t>
  </si>
  <si>
    <t>Fordon 14</t>
  </si>
  <si>
    <t>S-a  2015</t>
  </si>
  <si>
    <t>Pass 15</t>
  </si>
  <si>
    <t>Fordon 15</t>
  </si>
  <si>
    <t>S-a  2016</t>
  </si>
  <si>
    <t>Pass 16</t>
  </si>
  <si>
    <t>Ford. 16</t>
  </si>
  <si>
    <t>Tot 2016</t>
  </si>
  <si>
    <t>S-a 2016</t>
  </si>
  <si>
    <t>Släpvagn</t>
  </si>
  <si>
    <t>Fordon 16</t>
  </si>
  <si>
    <t>S-a  2017</t>
  </si>
  <si>
    <t>Pass 17</t>
  </si>
  <si>
    <t>Ford. 17</t>
  </si>
  <si>
    <t>Tot 2017</t>
  </si>
  <si>
    <t>S-a 2017</t>
  </si>
  <si>
    <t>knipan en dag</t>
  </si>
  <si>
    <t>Fordon 17</t>
  </si>
  <si>
    <t>TRAFIK PER MÅNAD 2017</t>
  </si>
  <si>
    <t>Det stora procentuella ökningarna kan förklaras med att turlistan under låg- och mellansäsong 2017 utökades med fler turer till och från Långnäs samt trafik på söndagar. Eftersom beläggningen ifråga om antal fordon tidigare bestått av enstaka fisklbilar mellan Snäckö och Överö och det nu tillkommit ett rätt stort antal personbilar på de nya turerna ger detta ett stort procentuellt utslag. 
På årsbasis är ökningen av fordon ändå bara 26 %, detta eftersom det inte ökat speciellt mycket under högsäsong som ändå står nästa hälften av årets last.
.</t>
  </si>
  <si>
    <t>Det stora procentuella ökningarna kan förklaras med att turlistan under låg- och mellansäsong 2017 utökades med fler turer till och från Långnäs samt trafik på söndagar. Eftersom beläggningen ifråga om antal fordon tidigare bestått av enstaka fisklbilar mellan Snäckö och Överö och det nu tillkommit ett rätt stort antal personbilar på de nya turerna ger detta ett stort procentuellt utslag. 
På årsbasis är ökningen av fordon ändå bara 26 %, detta eftersom det inte ökat speciellt mycket under högsäsong som ändå står nästa hälften av årets last.</t>
  </si>
  <si>
    <t>Pass 18</t>
  </si>
  <si>
    <t>Ford. 18</t>
  </si>
  <si>
    <t>Ford. 1</t>
  </si>
  <si>
    <t>S-a  2018</t>
  </si>
  <si>
    <t>S-a 2018</t>
  </si>
  <si>
    <t>Tot 2018</t>
  </si>
  <si>
    <t>TRAFIK PER MÅNAD 2018</t>
  </si>
  <si>
    <t>Fordon 18</t>
  </si>
  <si>
    <t>Förändring:</t>
  </si>
  <si>
    <t>Pass:</t>
  </si>
  <si>
    <t>Fordon:</t>
  </si>
  <si>
    <t>Förändring i %:</t>
  </si>
  <si>
    <t>Övriga*</t>
  </si>
  <si>
    <t>*Bilsläp / båtsläp ingår i övriga.</t>
  </si>
  <si>
    <t>Husbil, Husvagn, Cykel, MC är ej specat på alla linjer.</t>
  </si>
  <si>
    <t>*Ersättningsfartyg för m/s Skiftet.</t>
  </si>
  <si>
    <t>*Statistik för inresande vecka 16 då m/s Ejdern ersatte m/s Skiftet saknas.</t>
  </si>
  <si>
    <t>*statistik 1/4-10/5 saknas, uppskattad.</t>
  </si>
  <si>
    <t>*Ejdern i Juli</t>
  </si>
  <si>
    <t>*Ejdern vissa veckor</t>
  </si>
  <si>
    <t>Ejdern första veckan i Oktober.</t>
  </si>
  <si>
    <t>*</t>
  </si>
  <si>
    <t>*Knipan vissa veckor.</t>
  </si>
  <si>
    <t>*Hittar ej underlaget för Augusti -17 kan ej korrigera.</t>
  </si>
  <si>
    <t>2017 korrigerad i efterhand, ny modell för 2018 som ger rätt siffror.</t>
  </si>
  <si>
    <t>Asterholmalinjen 2019</t>
  </si>
  <si>
    <t>Pass 19</t>
  </si>
  <si>
    <t>Ford. 19</t>
  </si>
  <si>
    <t>S-a  2019</t>
  </si>
  <si>
    <t>Upphör September 2019</t>
  </si>
  <si>
    <t>BJÖRKÖLINJEN 2019</t>
  </si>
  <si>
    <t>BJÖRKÖLINJEN 2020</t>
  </si>
  <si>
    <t>Pass 20</t>
  </si>
  <si>
    <t>Ford. 20</t>
  </si>
  <si>
    <t>S-a  2020</t>
  </si>
  <si>
    <t>M/S Viggen</t>
  </si>
  <si>
    <t>Brändö-Osnäslinjen 2019</t>
  </si>
  <si>
    <t>*Knipan 8/4-27/4</t>
  </si>
  <si>
    <t>Brändö-Osnäslinjen 2020</t>
  </si>
  <si>
    <t>Brändö-Kumlingelinjen 2019</t>
  </si>
  <si>
    <t>Trak. +släp</t>
  </si>
  <si>
    <t>Trafikstart Oktober 2019</t>
  </si>
  <si>
    <t>Brändö-Kumlingelinjen 2020</t>
  </si>
  <si>
    <t>Embarsundslinjen 2019</t>
  </si>
  <si>
    <t>Embarsundslinjen 2020</t>
  </si>
  <si>
    <t>M/S Rosala II</t>
  </si>
  <si>
    <t>Enklinge Kumlingelinjen 2019</t>
  </si>
  <si>
    <t>*statistik saknas 16-25/4 skattade värden.</t>
  </si>
  <si>
    <t>Enklinge Kumlingelinjen 2020</t>
  </si>
  <si>
    <t>M/S Skarven</t>
  </si>
  <si>
    <t>Föglölinjen 2019</t>
  </si>
  <si>
    <t>*Odin trafikerade 12-25/4</t>
  </si>
  <si>
    <t>*Knipan ersatte Oktober-November</t>
  </si>
  <si>
    <t>Föglölinjen 2020</t>
  </si>
  <si>
    <t>M/S Knipan M/S Alfågeln</t>
  </si>
  <si>
    <t>Norra Linjen 2019</t>
  </si>
  <si>
    <t>M/S Knipan</t>
  </si>
  <si>
    <t>*Ejdern 8/4-27/4</t>
  </si>
  <si>
    <t>*Ejdern 18/6-30/6</t>
  </si>
  <si>
    <t>Från 1/10 går endast Alfågeln på Norra Linjen</t>
  </si>
  <si>
    <t>M/S Alfågeln</t>
  </si>
  <si>
    <t>(M/S Knipan) M/S Alfågeln</t>
  </si>
  <si>
    <t>Norra Linjen 2020</t>
  </si>
  <si>
    <t>Seglingelinjen 2019</t>
  </si>
  <si>
    <t>Seglingelinjen 2020</t>
  </si>
  <si>
    <t>Simskälalinjen 2019</t>
  </si>
  <si>
    <t>Simskälalinjen 2020</t>
  </si>
  <si>
    <t>M/S Skiftet</t>
  </si>
  <si>
    <t>Södra Linjen 2019</t>
  </si>
  <si>
    <t xml:space="preserve">*M/S Ejdern ersätter </t>
  </si>
  <si>
    <t>M/S Gudingen</t>
  </si>
  <si>
    <t>M/S Ejdern/Knipan</t>
  </si>
  <si>
    <t>*Knipan 17/6-30/6</t>
  </si>
  <si>
    <t xml:space="preserve">*Knipan </t>
  </si>
  <si>
    <t>*Knipan</t>
  </si>
  <si>
    <t>Södra Linjen 2020</t>
  </si>
  <si>
    <t>släp</t>
  </si>
  <si>
    <t>S-a 2019</t>
  </si>
  <si>
    <t>S-a 2020</t>
  </si>
  <si>
    <t>M/S Odin</t>
  </si>
  <si>
    <t>Tvärgående Linjen 2019</t>
  </si>
  <si>
    <t>Tot 2019</t>
  </si>
  <si>
    <t>*M/s Bärö under 13-25/4 statistik saknas.</t>
  </si>
  <si>
    <t>Tvärgående Linjen 2020</t>
  </si>
  <si>
    <t>Ford 20</t>
  </si>
  <si>
    <t>Tot 2020</t>
  </si>
  <si>
    <t>Statistik upphör efter 2018.</t>
  </si>
  <si>
    <t>M/S Doppingen</t>
  </si>
  <si>
    <t>Åva - Jurmolinjen 2019</t>
  </si>
  <si>
    <t>Åva - Jurmolinjen 2020</t>
  </si>
  <si>
    <t>Ängösundslinjen 2019</t>
  </si>
  <si>
    <t>Fordon 19</t>
  </si>
  <si>
    <t>Asterholmalinjen *</t>
  </si>
  <si>
    <t>Brändö - Kumlingelinjen</t>
  </si>
  <si>
    <t>Startade Sep. 19</t>
  </si>
  <si>
    <t>SAKNAS</t>
  </si>
  <si>
    <t>*Upphörde 1/9 2019.</t>
  </si>
  <si>
    <r>
      <t xml:space="preserve">                                         </t>
    </r>
    <r>
      <rPr>
        <b/>
        <sz val="14"/>
        <color rgb="FF000000"/>
        <rFont val="Arial"/>
        <family val="2"/>
      </rPr>
      <t xml:space="preserve">   TRANSPORTERADE FORDON ENLIGT OLIKA TYPER 2019</t>
    </r>
  </si>
  <si>
    <t>Brändö - Kumlinge</t>
  </si>
  <si>
    <t>Statistik saknas.</t>
  </si>
  <si>
    <t>INRESANDE TILL ÅLAND VIA GALTBY OCH OSNÄS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</si>
</sst>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
    <numFmt numFmtId="166" formatCode="#,##0%;[Red]\-#,##0%"/>
    <numFmt numFmtId="167" formatCode="#,##0\ %;[Red]\-#,##0\ %"/>
    <numFmt numFmtId="168" formatCode="#,##0.00\ %;[Red]\-#,##0.00\ %"/>
    <numFmt numFmtId="169" formatCode="#,##0.0\ %;[Red]\-#,##0.0\ %"/>
  </numFmts>
  <fonts count="28" x14ac:knownFonts="1">
    <font>
      <sz val="10"/>
      <name val="Arial"/>
    </font>
    <font>
      <b/>
      <sz val="10"/>
      <name val="Arial"/>
      <family val="2"/>
    </font>
    <font>
      <sz val="10"/>
      <name val="Arial"/>
      <family val="2"/>
    </font>
    <font>
      <sz val="10"/>
      <name val="Arial"/>
      <family val="2"/>
    </font>
    <font>
      <sz val="8"/>
      <name val="Arial"/>
      <family val="2"/>
    </font>
    <font>
      <b/>
      <sz val="12"/>
      <name val="Arial"/>
      <family val="2"/>
    </font>
    <font>
      <sz val="12"/>
      <name val="Arial"/>
      <family val="2"/>
    </font>
    <font>
      <b/>
      <sz val="10"/>
      <color indexed="10"/>
      <name val="Arial"/>
      <family val="2"/>
    </font>
    <font>
      <b/>
      <sz val="10"/>
      <color indexed="10"/>
      <name val="Arial"/>
      <family val="2"/>
    </font>
    <font>
      <b/>
      <sz val="10"/>
      <color indexed="12"/>
      <name val="Arial"/>
      <family val="2"/>
    </font>
    <font>
      <sz val="10"/>
      <color indexed="10"/>
      <name val="Arial"/>
      <family val="2"/>
    </font>
    <font>
      <sz val="10"/>
      <color indexed="12"/>
      <name val="Arial"/>
      <family val="2"/>
    </font>
    <font>
      <b/>
      <sz val="10"/>
      <name val="Arial"/>
      <family val="2"/>
    </font>
    <font>
      <b/>
      <sz val="12"/>
      <color indexed="12"/>
      <name val="Arial"/>
      <family val="2"/>
    </font>
    <font>
      <b/>
      <sz val="16"/>
      <name val="Arial"/>
      <family val="2"/>
    </font>
    <font>
      <sz val="10"/>
      <color rgb="FF0000FF"/>
      <name val="Arial"/>
      <family val="2"/>
    </font>
    <font>
      <b/>
      <sz val="10"/>
      <color rgb="FFFF0000"/>
      <name val="Arial"/>
      <family val="2"/>
    </font>
    <font>
      <b/>
      <sz val="10"/>
      <color rgb="FF0000FF"/>
      <name val="Arial"/>
      <family val="2"/>
    </font>
    <font>
      <b/>
      <sz val="12"/>
      <color rgb="FF0000FF"/>
      <name val="Arial"/>
      <family val="2"/>
    </font>
    <font>
      <b/>
      <sz val="10"/>
      <color rgb="FFC00000"/>
      <name val="Arial"/>
      <family val="2"/>
    </font>
    <font>
      <sz val="10"/>
      <name val="Arial"/>
      <family val="2"/>
    </font>
    <font>
      <sz val="11"/>
      <name val="Calibri"/>
      <family val="2"/>
    </font>
    <font>
      <sz val="10"/>
      <color theme="1"/>
      <name val="Arial"/>
      <family val="2"/>
    </font>
    <font>
      <b/>
      <sz val="14"/>
      <name val="Arial"/>
      <family val="2"/>
    </font>
    <font>
      <sz val="14"/>
      <name val="Arial"/>
      <family val="2"/>
    </font>
    <font>
      <sz val="10"/>
      <color rgb="FF000000"/>
      <name val="Arial"/>
      <family val="2"/>
    </font>
    <font>
      <b/>
      <sz val="14"/>
      <color rgb="FF000000"/>
      <name val="Arial"/>
      <family val="2"/>
    </font>
    <font>
      <b/>
      <sz val="11"/>
      <name val="Arial"/>
      <family val="2"/>
    </font>
  </fonts>
  <fills count="3">
    <fill>
      <patternFill patternType="none"/>
    </fill>
    <fill>
      <patternFill patternType="gray125"/>
    </fill>
    <fill>
      <patternFill patternType="solid">
        <fgColor rgb="FFFFFF0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double">
        <color indexed="64"/>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top style="medium">
        <color indexed="64"/>
      </top>
      <bottom/>
      <diagonal/>
    </border>
    <border>
      <left/>
      <right/>
      <top style="thin">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medium">
        <color indexed="64"/>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auto="1"/>
      </left>
      <right style="medium">
        <color auto="1"/>
      </right>
      <top style="medium">
        <color auto="1"/>
      </top>
      <bottom style="medium">
        <color auto="1"/>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auto="1"/>
      </left>
      <right/>
      <top style="medium">
        <color auto="1"/>
      </top>
      <bottom style="medium">
        <color auto="1"/>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s>
  <cellStyleXfs count="5">
    <xf numFmtId="0" fontId="0" fillId="0" borderId="0">
      <alignment vertical="center"/>
    </xf>
    <xf numFmtId="9" fontId="2" fillId="0" borderId="0" applyFont="0" applyFill="0" applyBorder="0" applyAlignment="0" applyProtection="0"/>
    <xf numFmtId="0" fontId="2" fillId="0" borderId="0"/>
    <xf numFmtId="0" fontId="20" fillId="0" borderId="0"/>
    <xf numFmtId="0" fontId="25" fillId="0" borderId="0"/>
  </cellStyleXfs>
  <cellXfs count="473">
    <xf numFmtId="0" fontId="0" fillId="0" borderId="0" xfId="0">
      <alignment vertical="center"/>
    </xf>
    <xf numFmtId="0" fontId="1" fillId="0" borderId="1" xfId="0" applyFont="1" applyBorder="1">
      <alignment vertical="center"/>
    </xf>
    <xf numFmtId="0" fontId="1" fillId="0" borderId="1" xfId="0" applyFont="1" applyBorder="1" applyAlignment="1">
      <alignment horizontal="centerContinuous"/>
    </xf>
    <xf numFmtId="0" fontId="1" fillId="0" borderId="0" xfId="0" applyFont="1">
      <alignment vertical="center"/>
    </xf>
    <xf numFmtId="0" fontId="0" fillId="0" borderId="2" xfId="0" applyBorder="1">
      <alignment vertical="center"/>
    </xf>
    <xf numFmtId="0" fontId="1" fillId="0" borderId="2" xfId="0" applyFont="1" applyBorder="1">
      <alignment vertical="center"/>
    </xf>
    <xf numFmtId="0" fontId="1" fillId="0" borderId="1" xfId="0" applyFont="1" applyBorder="1" applyAlignment="1"/>
    <xf numFmtId="0" fontId="0" fillId="0" borderId="3" xfId="0" applyBorder="1">
      <alignment vertical="center"/>
    </xf>
    <xf numFmtId="3" fontId="1" fillId="0" borderId="0" xfId="0" applyNumberFormat="1" applyFont="1" applyAlignment="1">
      <alignment horizontal="center"/>
    </xf>
    <xf numFmtId="3" fontId="1" fillId="0" borderId="2" xfId="0" applyNumberFormat="1" applyFont="1" applyBorder="1" applyAlignment="1">
      <alignment horizontal="center"/>
    </xf>
    <xf numFmtId="3" fontId="0" fillId="0" borderId="0" xfId="0" applyNumberFormat="1" applyAlignment="1">
      <alignment horizontal="center"/>
    </xf>
    <xf numFmtId="3" fontId="0" fillId="0" borderId="2" xfId="0" applyNumberFormat="1" applyBorder="1" applyAlignment="1">
      <alignment horizontal="center"/>
    </xf>
    <xf numFmtId="3" fontId="0" fillId="0" borderId="0" xfId="0" applyNumberFormat="1">
      <alignment vertical="center"/>
    </xf>
    <xf numFmtId="0" fontId="1" fillId="0" borderId="0" xfId="0" applyFont="1" applyAlignment="1">
      <alignment horizontal="center"/>
    </xf>
    <xf numFmtId="0" fontId="0" fillId="0" borderId="0" xfId="0" applyAlignment="1">
      <alignment horizontal="center"/>
    </xf>
    <xf numFmtId="0" fontId="0" fillId="0" borderId="2" xfId="0" applyBorder="1" applyAlignment="1">
      <alignment horizontal="center"/>
    </xf>
    <xf numFmtId="3" fontId="2" fillId="0" borderId="0" xfId="0" applyNumberFormat="1" applyFont="1" applyAlignment="1">
      <alignment horizontal="center"/>
    </xf>
    <xf numFmtId="10" fontId="1" fillId="0" borderId="2" xfId="1" applyNumberFormat="1" applyFont="1" applyBorder="1" applyAlignment="1">
      <alignment horizontal="center"/>
    </xf>
    <xf numFmtId="0" fontId="1" fillId="0" borderId="2" xfId="0" applyFont="1" applyBorder="1" applyAlignment="1">
      <alignment horizontal="center"/>
    </xf>
    <xf numFmtId="164" fontId="1" fillId="0" borderId="2" xfId="0" applyNumberFormat="1" applyFont="1" applyBorder="1" applyAlignment="1">
      <alignment horizontal="center"/>
    </xf>
    <xf numFmtId="3" fontId="0" fillId="0" borderId="2" xfId="0" applyNumberFormat="1" applyBorder="1">
      <alignment vertical="center"/>
    </xf>
    <xf numFmtId="9" fontId="1" fillId="0" borderId="2" xfId="1" applyFont="1" applyBorder="1" applyAlignment="1">
      <alignment horizontal="center"/>
    </xf>
    <xf numFmtId="0" fontId="2" fillId="0" borderId="0" xfId="0" applyFont="1">
      <alignment vertical="center"/>
    </xf>
    <xf numFmtId="164" fontId="1" fillId="0" borderId="0" xfId="0" applyNumberFormat="1" applyFont="1" applyBorder="1" applyAlignment="1">
      <alignment horizontal="center"/>
    </xf>
    <xf numFmtId="3" fontId="1" fillId="0" borderId="4" xfId="0" applyNumberFormat="1" applyFont="1" applyBorder="1" applyAlignment="1">
      <alignment horizontal="center"/>
    </xf>
    <xf numFmtId="0" fontId="0" fillId="0" borderId="10" xfId="0" applyBorder="1">
      <alignment vertical="center"/>
    </xf>
    <xf numFmtId="0" fontId="1" fillId="0" borderId="1" xfId="0" applyFont="1" applyBorder="1" applyAlignment="1">
      <alignment horizontal="center"/>
    </xf>
    <xf numFmtId="0" fontId="8" fillId="0" borderId="0" xfId="0" applyFont="1" applyAlignment="1">
      <alignment horizontal="center"/>
    </xf>
    <xf numFmtId="3" fontId="8" fillId="0" borderId="0" xfId="0" applyNumberFormat="1" applyFont="1" applyAlignment="1">
      <alignment horizontal="center"/>
    </xf>
    <xf numFmtId="3" fontId="8" fillId="0" borderId="2" xfId="0" applyNumberFormat="1" applyFont="1" applyBorder="1" applyAlignment="1">
      <alignment horizontal="center"/>
    </xf>
    <xf numFmtId="3" fontId="7" fillId="0" borderId="2" xfId="0" applyNumberFormat="1" applyFont="1" applyBorder="1" applyAlignment="1">
      <alignment horizontal="center"/>
    </xf>
    <xf numFmtId="3" fontId="7" fillId="0" borderId="0" xfId="0" applyNumberFormat="1" applyFont="1" applyAlignment="1">
      <alignment horizontal="center"/>
    </xf>
    <xf numFmtId="0" fontId="7" fillId="0" borderId="1" xfId="0" applyFont="1" applyBorder="1" applyAlignment="1">
      <alignment horizontal="centerContinuous"/>
    </xf>
    <xf numFmtId="0" fontId="8" fillId="0" borderId="1" xfId="0" applyFont="1" applyBorder="1" applyAlignment="1">
      <alignment horizontal="centerContinuous"/>
    </xf>
    <xf numFmtId="0" fontId="8" fillId="0" borderId="2" xfId="0" applyFont="1" applyBorder="1" applyAlignment="1">
      <alignment horizontal="center"/>
    </xf>
    <xf numFmtId="0" fontId="1" fillId="0" borderId="12" xfId="0" applyFont="1" applyBorder="1">
      <alignment vertical="center"/>
    </xf>
    <xf numFmtId="0" fontId="1" fillId="0" borderId="0" xfId="0" applyFont="1" applyAlignment="1">
      <alignment horizontal="left"/>
    </xf>
    <xf numFmtId="0" fontId="1" fillId="0" borderId="2" xfId="0" applyFont="1" applyBorder="1" applyAlignment="1">
      <alignment horizontal="left"/>
    </xf>
    <xf numFmtId="0" fontId="1" fillId="0" borderId="0" xfId="0" applyFont="1" applyBorder="1">
      <alignment vertical="center"/>
    </xf>
    <xf numFmtId="0" fontId="0" fillId="0" borderId="0" xfId="0" applyBorder="1">
      <alignment vertical="center"/>
    </xf>
    <xf numFmtId="3" fontId="8" fillId="0" borderId="4" xfId="0" applyNumberFormat="1" applyFont="1" applyBorder="1" applyAlignment="1">
      <alignment horizontal="center"/>
    </xf>
    <xf numFmtId="3" fontId="1" fillId="0" borderId="18" xfId="0" applyNumberFormat="1" applyFont="1" applyBorder="1" applyAlignment="1">
      <alignment horizontal="center"/>
    </xf>
    <xf numFmtId="3" fontId="8" fillId="0" borderId="18" xfId="0" applyNumberFormat="1" applyFont="1" applyBorder="1" applyAlignment="1">
      <alignment horizontal="center"/>
    </xf>
    <xf numFmtId="3" fontId="1" fillId="0" borderId="0" xfId="0" applyNumberFormat="1" applyFont="1" applyBorder="1" applyAlignment="1">
      <alignment horizontal="center"/>
    </xf>
    <xf numFmtId="3" fontId="7" fillId="0" borderId="0" xfId="0" applyNumberFormat="1" applyFont="1" applyBorder="1" applyAlignment="1">
      <alignment horizontal="center"/>
    </xf>
    <xf numFmtId="0" fontId="11" fillId="0" borderId="0" xfId="0" applyFont="1">
      <alignment vertical="center"/>
    </xf>
    <xf numFmtId="1" fontId="1" fillId="0" borderId="2" xfId="0" applyNumberFormat="1" applyFont="1" applyBorder="1" applyAlignment="1">
      <alignment horizontal="center"/>
    </xf>
    <xf numFmtId="1" fontId="1" fillId="0" borderId="2" xfId="1" applyNumberFormat="1" applyFont="1" applyBorder="1" applyAlignment="1">
      <alignment horizontal="center"/>
    </xf>
    <xf numFmtId="9" fontId="1" fillId="0" borderId="2" xfId="0" applyNumberFormat="1" applyFont="1" applyBorder="1" applyAlignment="1">
      <alignment horizontal="center"/>
    </xf>
    <xf numFmtId="0" fontId="5" fillId="0" borderId="1" xfId="0" applyFont="1" applyBorder="1" applyAlignment="1">
      <alignment horizontal="centerContinuous"/>
    </xf>
    <xf numFmtId="0" fontId="5" fillId="0" borderId="4" xfId="0" applyFont="1" applyBorder="1" applyAlignment="1">
      <alignment horizontal="centerContinuous"/>
    </xf>
    <xf numFmtId="0" fontId="5" fillId="0" borderId="5" xfId="0" applyFont="1" applyBorder="1" applyAlignment="1">
      <alignment horizontal="centerContinuous"/>
    </xf>
    <xf numFmtId="3" fontId="6" fillId="0" borderId="12" xfId="0" applyNumberFormat="1" applyFont="1" applyBorder="1" applyAlignment="1">
      <alignment horizontal="center"/>
    </xf>
    <xf numFmtId="3" fontId="5" fillId="0" borderId="11" xfId="0" applyNumberFormat="1" applyFont="1" applyBorder="1" applyAlignment="1">
      <alignment horizontal="center"/>
    </xf>
    <xf numFmtId="0" fontId="5" fillId="0" borderId="14" xfId="0" applyFont="1" applyBorder="1">
      <alignment vertical="center"/>
    </xf>
    <xf numFmtId="0" fontId="13" fillId="0" borderId="14" xfId="0" applyFont="1" applyBorder="1">
      <alignment vertical="center"/>
    </xf>
    <xf numFmtId="0" fontId="5" fillId="0" borderId="14" xfId="0" applyFont="1" applyBorder="1" applyAlignment="1">
      <alignment horizontal="center"/>
    </xf>
    <xf numFmtId="3" fontId="13" fillId="0" borderId="31" xfId="0" applyNumberFormat="1" applyFont="1" applyBorder="1" applyAlignment="1">
      <alignment horizontal="center"/>
    </xf>
    <xf numFmtId="0" fontId="0" fillId="0" borderId="5" xfId="0" applyBorder="1">
      <alignment vertical="center"/>
    </xf>
    <xf numFmtId="0" fontId="5" fillId="0" borderId="32" xfId="0" applyFont="1" applyBorder="1" applyAlignment="1">
      <alignment horizontal="center"/>
    </xf>
    <xf numFmtId="0" fontId="5" fillId="0" borderId="33" xfId="0" applyFont="1" applyBorder="1" applyAlignment="1">
      <alignment horizontal="center"/>
    </xf>
    <xf numFmtId="3" fontId="12" fillId="0" borderId="0" xfId="0" applyNumberFormat="1" applyFont="1" applyAlignment="1">
      <alignment horizontal="center"/>
    </xf>
    <xf numFmtId="3" fontId="0" fillId="0" borderId="0" xfId="0" applyNumberFormat="1" applyBorder="1" applyAlignment="1">
      <alignment horizontal="center"/>
    </xf>
    <xf numFmtId="0" fontId="5" fillId="0" borderId="36" xfId="0" applyFont="1" applyBorder="1" applyAlignment="1">
      <alignment horizontal="center"/>
    </xf>
    <xf numFmtId="0" fontId="5" fillId="0" borderId="19" xfId="0" applyFont="1" applyBorder="1" applyAlignment="1">
      <alignment horizontal="center"/>
    </xf>
    <xf numFmtId="0" fontId="6" fillId="0" borderId="34" xfId="0" applyFont="1" applyBorder="1" applyAlignment="1">
      <alignment horizontal="centerContinuous"/>
    </xf>
    <xf numFmtId="0" fontId="5" fillId="0" borderId="39" xfId="0" applyFont="1" applyBorder="1" applyAlignment="1">
      <alignment horizontal="center"/>
    </xf>
    <xf numFmtId="0" fontId="1" fillId="0" borderId="1" xfId="0" applyFont="1" applyFill="1" applyBorder="1" applyAlignment="1">
      <alignment horizontal="centerContinuous"/>
    </xf>
    <xf numFmtId="0" fontId="12" fillId="0" borderId="0" xfId="0" applyFont="1" applyAlignment="1">
      <alignment horizontal="center"/>
    </xf>
    <xf numFmtId="3" fontId="0" fillId="0" borderId="0" xfId="0" applyNumberFormat="1" applyFill="1" applyBorder="1" applyAlignment="1">
      <alignment horizontal="center"/>
    </xf>
    <xf numFmtId="3" fontId="8" fillId="0" borderId="0" xfId="0" applyNumberFormat="1" applyFont="1" applyBorder="1" applyAlignment="1">
      <alignment horizontal="center"/>
    </xf>
    <xf numFmtId="3" fontId="3" fillId="0" borderId="0" xfId="0" applyNumberFormat="1" applyFont="1" applyAlignment="1">
      <alignment horizontal="center"/>
    </xf>
    <xf numFmtId="0" fontId="8" fillId="0" borderId="1" xfId="0" applyFont="1" applyBorder="1" applyAlignment="1">
      <alignment horizontal="left"/>
    </xf>
    <xf numFmtId="0" fontId="1" fillId="0" borderId="1" xfId="0" applyFont="1" applyBorder="1" applyAlignment="1">
      <alignment horizontal="left"/>
    </xf>
    <xf numFmtId="0" fontId="12" fillId="0" borderId="1" xfId="0" applyFont="1" applyBorder="1" applyAlignment="1">
      <alignment horizontal="center"/>
    </xf>
    <xf numFmtId="0" fontId="1" fillId="0" borderId="1" xfId="0" applyFont="1" applyFill="1" applyBorder="1" applyAlignment="1">
      <alignment horizontal="center"/>
    </xf>
    <xf numFmtId="0" fontId="3" fillId="0" borderId="0" xfId="0" applyFont="1" applyAlignment="1">
      <alignment horizontal="center"/>
    </xf>
    <xf numFmtId="0" fontId="3" fillId="0" borderId="2" xfId="0" applyFont="1" applyBorder="1" applyAlignment="1">
      <alignment horizontal="center"/>
    </xf>
    <xf numFmtId="3" fontId="3" fillId="0" borderId="2" xfId="0" applyNumberFormat="1" applyFont="1" applyBorder="1" applyAlignment="1">
      <alignment horizontal="center"/>
    </xf>
    <xf numFmtId="0" fontId="10" fillId="0" borderId="0" xfId="0" applyFont="1">
      <alignment vertical="center"/>
    </xf>
    <xf numFmtId="3" fontId="0" fillId="0" borderId="16" xfId="0" applyNumberFormat="1" applyBorder="1" applyAlignment="1">
      <alignment horizontal="center"/>
    </xf>
    <xf numFmtId="3" fontId="0" fillId="0" borderId="9" xfId="0" applyNumberFormat="1" applyBorder="1" applyAlignment="1">
      <alignment horizontal="center"/>
    </xf>
    <xf numFmtId="0" fontId="1" fillId="0" borderId="12" xfId="0" applyFont="1" applyBorder="1" applyAlignment="1">
      <alignment horizontal="centerContinuous"/>
    </xf>
    <xf numFmtId="0" fontId="8" fillId="0" borderId="12" xfId="0" applyFont="1" applyBorder="1" applyAlignment="1">
      <alignment horizontal="centerContinuous"/>
    </xf>
    <xf numFmtId="0" fontId="1" fillId="0" borderId="12" xfId="0" applyFont="1" applyFill="1" applyBorder="1" applyAlignment="1">
      <alignment horizontal="centerContinuous"/>
    </xf>
    <xf numFmtId="3" fontId="3" fillId="0" borderId="0" xfId="0" applyNumberFormat="1" applyFont="1" applyFill="1" applyBorder="1" applyAlignment="1">
      <alignment horizontal="center"/>
    </xf>
    <xf numFmtId="0" fontId="0" fillId="0" borderId="8" xfId="0" applyBorder="1">
      <alignment vertical="center"/>
    </xf>
    <xf numFmtId="0" fontId="1" fillId="0" borderId="3" xfId="0" applyFont="1" applyBorder="1">
      <alignment vertical="center"/>
    </xf>
    <xf numFmtId="0" fontId="3" fillId="0" borderId="0" xfId="0" applyFont="1">
      <alignment vertical="center"/>
    </xf>
    <xf numFmtId="0" fontId="1" fillId="0" borderId="37" xfId="0" applyFont="1" applyBorder="1">
      <alignment vertical="center"/>
    </xf>
    <xf numFmtId="3" fontId="7" fillId="0" borderId="18" xfId="0" applyNumberFormat="1" applyFont="1" applyBorder="1" applyAlignment="1">
      <alignment horizontal="center"/>
    </xf>
    <xf numFmtId="3" fontId="1" fillId="0" borderId="43" xfId="0" applyNumberFormat="1" applyFont="1" applyBorder="1" applyAlignment="1">
      <alignment horizontal="center"/>
    </xf>
    <xf numFmtId="3" fontId="12" fillId="0" borderId="2" xfId="0" applyNumberFormat="1" applyFont="1" applyBorder="1" applyAlignment="1">
      <alignment horizontal="center" vertical="center"/>
    </xf>
    <xf numFmtId="0" fontId="12" fillId="0" borderId="4" xfId="0" applyFont="1" applyFill="1" applyBorder="1">
      <alignment vertical="center"/>
    </xf>
    <xf numFmtId="3" fontId="12" fillId="0" borderId="4" xfId="0" applyNumberFormat="1" applyFont="1" applyBorder="1" applyAlignment="1">
      <alignment horizontal="center" vertical="center"/>
    </xf>
    <xf numFmtId="3" fontId="12" fillId="0" borderId="5" xfId="0" applyNumberFormat="1" applyFont="1" applyBorder="1" applyAlignment="1">
      <alignment horizontal="center" vertical="center"/>
    </xf>
    <xf numFmtId="0" fontId="12" fillId="0" borderId="8" xfId="0" applyFont="1" applyBorder="1">
      <alignment vertical="center"/>
    </xf>
    <xf numFmtId="0" fontId="0" fillId="0" borderId="9" xfId="0" applyBorder="1">
      <alignment vertical="center"/>
    </xf>
    <xf numFmtId="0" fontId="12" fillId="0" borderId="0" xfId="0" applyFont="1" applyAlignment="1">
      <alignment horizontal="center" vertical="center"/>
    </xf>
    <xf numFmtId="3" fontId="0" fillId="0" borderId="0" xfId="0" applyNumberFormat="1" applyAlignment="1">
      <alignment horizontal="center" vertical="center"/>
    </xf>
    <xf numFmtId="0" fontId="1" fillId="0" borderId="3" xfId="0" applyFont="1" applyBorder="1" applyAlignment="1">
      <alignment horizontal="center"/>
    </xf>
    <xf numFmtId="0" fontId="1" fillId="0" borderId="0" xfId="0" applyFont="1" applyAlignment="1">
      <alignment horizontal="center" vertical="center"/>
    </xf>
    <xf numFmtId="0" fontId="0" fillId="0" borderId="0" xfId="0" applyAlignment="1">
      <alignment horizontal="center" vertical="center"/>
    </xf>
    <xf numFmtId="3" fontId="0" fillId="0" borderId="0" xfId="0" quotePrefix="1" applyNumberFormat="1" applyAlignment="1">
      <alignment horizontal="center"/>
    </xf>
    <xf numFmtId="9" fontId="1" fillId="0" borderId="4" xfId="0" applyNumberFormat="1" applyFont="1" applyBorder="1" applyAlignment="1">
      <alignment horizontal="center"/>
    </xf>
    <xf numFmtId="3" fontId="13" fillId="0" borderId="14" xfId="0" applyNumberFormat="1" applyFont="1" applyBorder="1" applyAlignment="1">
      <alignment horizontal="center"/>
    </xf>
    <xf numFmtId="3" fontId="13" fillId="0" borderId="15" xfId="0" applyNumberFormat="1" applyFont="1" applyBorder="1" applyAlignment="1">
      <alignment horizontal="center"/>
    </xf>
    <xf numFmtId="3" fontId="0" fillId="0" borderId="0" xfId="0" applyNumberFormat="1" applyAlignment="1">
      <alignment horizontal="right" vertical="center"/>
    </xf>
    <xf numFmtId="3" fontId="0" fillId="0" borderId="2" xfId="0" applyNumberFormat="1" applyBorder="1" applyAlignment="1">
      <alignment horizontal="right" vertical="center"/>
    </xf>
    <xf numFmtId="3" fontId="6" fillId="0" borderId="47" xfId="0" applyNumberFormat="1" applyFont="1" applyBorder="1" applyAlignment="1">
      <alignment horizontal="center"/>
    </xf>
    <xf numFmtId="0" fontId="5" fillId="0" borderId="48" xfId="0" applyFont="1" applyBorder="1" applyAlignment="1">
      <alignment horizontal="left"/>
    </xf>
    <xf numFmtId="0" fontId="5" fillId="0" borderId="49" xfId="0" applyFont="1" applyBorder="1" applyAlignment="1">
      <alignment horizontal="left"/>
    </xf>
    <xf numFmtId="3" fontId="5" fillId="0" borderId="50" xfId="0" applyNumberFormat="1" applyFont="1" applyBorder="1" applyAlignment="1">
      <alignment horizontal="center"/>
    </xf>
    <xf numFmtId="0" fontId="5" fillId="0" borderId="51" xfId="0" applyFont="1" applyBorder="1" applyAlignment="1">
      <alignment horizontal="left"/>
    </xf>
    <xf numFmtId="3" fontId="5" fillId="0" borderId="19" xfId="0" applyNumberFormat="1" applyFont="1" applyBorder="1" applyAlignment="1">
      <alignment horizontal="center"/>
    </xf>
    <xf numFmtId="3" fontId="5" fillId="0" borderId="39" xfId="0" applyNumberFormat="1" applyFont="1" applyBorder="1" applyAlignment="1">
      <alignment horizontal="center"/>
    </xf>
    <xf numFmtId="3" fontId="3" fillId="0" borderId="0" xfId="0" applyNumberFormat="1" applyFont="1" applyBorder="1" applyAlignment="1">
      <alignment horizontal="center"/>
    </xf>
    <xf numFmtId="0" fontId="8" fillId="0" borderId="1" xfId="0" applyFont="1" applyBorder="1" applyAlignment="1">
      <alignment horizontal="center"/>
    </xf>
    <xf numFmtId="0" fontId="12" fillId="0" borderId="1" xfId="0" applyFont="1" applyBorder="1" applyAlignment="1">
      <alignment horizontal="center" vertical="center"/>
    </xf>
    <xf numFmtId="0" fontId="1" fillId="0" borderId="18" xfId="0" applyFont="1" applyBorder="1" applyAlignment="1">
      <alignment horizontal="left"/>
    </xf>
    <xf numFmtId="1" fontId="1" fillId="0" borderId="9" xfId="1" applyNumberFormat="1" applyFont="1" applyBorder="1" applyAlignment="1">
      <alignment horizontal="center"/>
    </xf>
    <xf numFmtId="164" fontId="1" fillId="0" borderId="9" xfId="0" applyNumberFormat="1" applyFont="1" applyBorder="1" applyAlignment="1">
      <alignment horizontal="center"/>
    </xf>
    <xf numFmtId="0" fontId="1" fillId="0" borderId="1" xfId="0" applyFont="1" applyBorder="1" applyAlignment="1">
      <alignment horizontal="center" vertical="center"/>
    </xf>
    <xf numFmtId="0" fontId="12" fillId="0" borderId="8" xfId="0" applyFont="1" applyBorder="1" applyAlignment="1">
      <alignment horizontal="center" vertical="center"/>
    </xf>
    <xf numFmtId="0" fontId="12" fillId="0" borderId="12" xfId="0" applyFont="1" applyBorder="1" applyAlignment="1">
      <alignment horizontal="center" vertical="center"/>
    </xf>
    <xf numFmtId="3" fontId="12" fillId="0" borderId="0" xfId="0" applyNumberFormat="1" applyFont="1" applyBorder="1" applyAlignment="1">
      <alignment horizontal="center" vertical="center"/>
    </xf>
    <xf numFmtId="3" fontId="0" fillId="0" borderId="2" xfId="0" applyNumberFormat="1" applyFill="1" applyBorder="1" applyAlignment="1">
      <alignment horizontal="center"/>
    </xf>
    <xf numFmtId="0" fontId="5" fillId="0" borderId="1" xfId="0" applyFont="1" applyFill="1" applyBorder="1" applyAlignment="1">
      <alignment horizontal="centerContinuous"/>
    </xf>
    <xf numFmtId="0" fontId="1" fillId="0" borderId="10" xfId="0" applyFont="1" applyBorder="1">
      <alignment vertical="center"/>
    </xf>
    <xf numFmtId="0" fontId="1" fillId="0" borderId="8" xfId="0" applyFont="1" applyBorder="1">
      <alignment vertical="center"/>
    </xf>
    <xf numFmtId="3" fontId="12" fillId="0" borderId="18" xfId="0" applyNumberFormat="1" applyFont="1" applyBorder="1" applyAlignment="1">
      <alignment horizontal="center"/>
    </xf>
    <xf numFmtId="0" fontId="1" fillId="0" borderId="12" xfId="0" applyFont="1" applyBorder="1" applyAlignment="1">
      <alignment horizontal="left"/>
    </xf>
    <xf numFmtId="0" fontId="5" fillId="0" borderId="14" xfId="0" applyFont="1" applyBorder="1" applyAlignment="1">
      <alignment horizontal="center" vertical="center"/>
    </xf>
    <xf numFmtId="0" fontId="5" fillId="0" borderId="15" xfId="0" applyFont="1" applyBorder="1" applyAlignment="1">
      <alignment horizontal="center" vertical="center"/>
    </xf>
    <xf numFmtId="3" fontId="6" fillId="0" borderId="28" xfId="0" applyNumberFormat="1" applyFont="1" applyBorder="1" applyAlignment="1">
      <alignment horizontal="center"/>
    </xf>
    <xf numFmtId="0" fontId="5" fillId="0" borderId="34" xfId="0" applyFont="1" applyBorder="1">
      <alignment vertical="center"/>
    </xf>
    <xf numFmtId="3" fontId="6" fillId="0" borderId="3" xfId="0" applyNumberFormat="1" applyFont="1" applyBorder="1" applyAlignment="1">
      <alignment horizontal="center"/>
    </xf>
    <xf numFmtId="3" fontId="6" fillId="0" borderId="52" xfId="0" applyNumberFormat="1" applyFont="1" applyBorder="1" applyAlignment="1">
      <alignment horizontal="center"/>
    </xf>
    <xf numFmtId="3" fontId="6" fillId="0" borderId="6" xfId="0" applyNumberFormat="1" applyFont="1" applyBorder="1" applyAlignment="1">
      <alignment horizontal="center"/>
    </xf>
    <xf numFmtId="38" fontId="9" fillId="0" borderId="0" xfId="0" applyNumberFormat="1" applyFont="1">
      <alignment vertical="center"/>
    </xf>
    <xf numFmtId="38" fontId="8" fillId="0" borderId="0" xfId="0" applyNumberFormat="1" applyFont="1">
      <alignment vertical="center"/>
    </xf>
    <xf numFmtId="38" fontId="17" fillId="0" borderId="0" xfId="0" applyNumberFormat="1" applyFont="1">
      <alignment vertical="center"/>
    </xf>
    <xf numFmtId="3" fontId="6" fillId="0" borderId="27" xfId="0" applyNumberFormat="1" applyFont="1" applyBorder="1" applyAlignment="1">
      <alignment horizontal="center"/>
    </xf>
    <xf numFmtId="38" fontId="1" fillId="0" borderId="0" xfId="0" applyNumberFormat="1" applyFont="1">
      <alignment vertical="center"/>
    </xf>
    <xf numFmtId="0" fontId="12" fillId="0" borderId="21" xfId="0" applyFont="1" applyBorder="1" applyAlignment="1">
      <alignment horizontal="center"/>
    </xf>
    <xf numFmtId="167" fontId="10" fillId="0" borderId="37" xfId="0" applyNumberFormat="1" applyFont="1" applyBorder="1" applyAlignment="1">
      <alignment horizontal="center" vertical="center"/>
    </xf>
    <xf numFmtId="167" fontId="10" fillId="0" borderId="43" xfId="0" applyNumberFormat="1" applyFont="1" applyBorder="1" applyAlignment="1">
      <alignment horizontal="center" vertical="center"/>
    </xf>
    <xf numFmtId="167" fontId="10" fillId="0" borderId="10" xfId="0" applyNumberFormat="1" applyFont="1" applyBorder="1" applyAlignment="1">
      <alignment horizontal="center" vertical="center"/>
    </xf>
    <xf numFmtId="167" fontId="10" fillId="0" borderId="16" xfId="0" applyNumberFormat="1" applyFont="1" applyBorder="1" applyAlignment="1">
      <alignment horizontal="center" vertical="center"/>
    </xf>
    <xf numFmtId="167" fontId="11" fillId="0" borderId="10" xfId="0" applyNumberFormat="1" applyFont="1" applyBorder="1" applyAlignment="1">
      <alignment horizontal="center" vertical="center"/>
    </xf>
    <xf numFmtId="167" fontId="11" fillId="0" borderId="16" xfId="0" applyNumberFormat="1" applyFont="1" applyBorder="1" applyAlignment="1">
      <alignment horizontal="center" vertical="center"/>
    </xf>
    <xf numFmtId="167" fontId="10" fillId="0" borderId="8" xfId="0" applyNumberFormat="1" applyFont="1" applyBorder="1" applyAlignment="1">
      <alignment horizontal="center" vertical="center"/>
    </xf>
    <xf numFmtId="167" fontId="10" fillId="0" borderId="9" xfId="0" applyNumberFormat="1" applyFont="1" applyBorder="1" applyAlignment="1">
      <alignment horizontal="center" vertical="center"/>
    </xf>
    <xf numFmtId="167" fontId="9" fillId="0" borderId="37" xfId="0" applyNumberFormat="1" applyFont="1" applyBorder="1" applyAlignment="1">
      <alignment horizontal="center" vertical="center"/>
    </xf>
    <xf numFmtId="167" fontId="9" fillId="0" borderId="43" xfId="0" applyNumberFormat="1" applyFont="1" applyBorder="1" applyAlignment="1">
      <alignment horizontal="center" vertical="center"/>
    </xf>
    <xf numFmtId="9" fontId="1" fillId="0" borderId="5" xfId="0" applyNumberFormat="1" applyFont="1" applyBorder="1" applyAlignment="1">
      <alignment horizontal="center"/>
    </xf>
    <xf numFmtId="9" fontId="1" fillId="0" borderId="9" xfId="1" applyFont="1" applyBorder="1" applyAlignment="1">
      <alignment horizontal="center"/>
    </xf>
    <xf numFmtId="3" fontId="1" fillId="0" borderId="9" xfId="0" applyNumberFormat="1" applyFont="1" applyBorder="1" applyAlignment="1">
      <alignment horizontal="center"/>
    </xf>
    <xf numFmtId="9" fontId="1" fillId="0" borderId="9" xfId="0" applyNumberFormat="1" applyFont="1" applyBorder="1" applyAlignment="1">
      <alignment horizontal="center"/>
    </xf>
    <xf numFmtId="3" fontId="18" fillId="0" borderId="15" xfId="0" applyNumberFormat="1" applyFont="1" applyBorder="1" applyAlignment="1">
      <alignment horizontal="center" vertical="center"/>
    </xf>
    <xf numFmtId="3" fontId="2" fillId="0" borderId="0" xfId="0" applyNumberFormat="1" applyFont="1" applyFill="1" applyBorder="1" applyAlignment="1">
      <alignment horizontal="center"/>
    </xf>
    <xf numFmtId="3" fontId="2" fillId="0" borderId="0" xfId="0" applyNumberFormat="1" applyFont="1" applyBorder="1" applyAlignment="1">
      <alignment horizontal="center"/>
    </xf>
    <xf numFmtId="3" fontId="16" fillId="0" borderId="16" xfId="0" applyNumberFormat="1" applyFont="1" applyBorder="1" applyAlignment="1">
      <alignment horizontal="center"/>
    </xf>
    <xf numFmtId="0" fontId="1" fillId="0" borderId="0" xfId="0" applyFont="1" applyAlignment="1">
      <alignment horizontal="right" vertical="center"/>
    </xf>
    <xf numFmtId="0" fontId="0" fillId="0" borderId="0" xfId="0" applyAlignment="1">
      <alignment horizontal="right" vertical="center"/>
    </xf>
    <xf numFmtId="3" fontId="2" fillId="0" borderId="0" xfId="0" applyNumberFormat="1" applyFont="1">
      <alignment vertical="center"/>
    </xf>
    <xf numFmtId="3" fontId="2" fillId="0" borderId="2" xfId="0" applyNumberFormat="1" applyFont="1" applyBorder="1">
      <alignment vertical="center"/>
    </xf>
    <xf numFmtId="0" fontId="12" fillId="0" borderId="0" xfId="0" applyFont="1" applyFill="1" applyBorder="1">
      <alignment vertical="center"/>
    </xf>
    <xf numFmtId="38" fontId="19" fillId="0" borderId="0" xfId="0" applyNumberFormat="1" applyFont="1">
      <alignment vertical="center"/>
    </xf>
    <xf numFmtId="38" fontId="1" fillId="0" borderId="2" xfId="0" applyNumberFormat="1" applyFont="1" applyBorder="1">
      <alignment vertical="center"/>
    </xf>
    <xf numFmtId="168" fontId="1" fillId="0" borderId="0" xfId="1" applyNumberFormat="1" applyFont="1" applyBorder="1" applyAlignment="1">
      <alignment horizontal="right"/>
    </xf>
    <xf numFmtId="168" fontId="1" fillId="0" borderId="16" xfId="1" applyNumberFormat="1" applyFont="1" applyBorder="1" applyAlignment="1">
      <alignment horizontal="right"/>
    </xf>
    <xf numFmtId="169" fontId="2" fillId="0" borderId="37" xfId="1" applyNumberFormat="1" applyFont="1" applyBorder="1" applyAlignment="1">
      <alignment horizontal="right"/>
    </xf>
    <xf numFmtId="169" fontId="2" fillId="0" borderId="43" xfId="1" applyNumberFormat="1" applyFont="1" applyBorder="1" applyAlignment="1">
      <alignment horizontal="right"/>
    </xf>
    <xf numFmtId="169" fontId="2" fillId="0" borderId="10" xfId="1" applyNumberFormat="1" applyFont="1" applyBorder="1" applyAlignment="1">
      <alignment horizontal="right"/>
    </xf>
    <xf numFmtId="169" fontId="2" fillId="0" borderId="16" xfId="1" applyNumberFormat="1" applyFont="1" applyBorder="1" applyAlignment="1">
      <alignment horizontal="right"/>
    </xf>
    <xf numFmtId="169" fontId="2" fillId="0" borderId="8" xfId="1" applyNumberFormat="1" applyFont="1" applyBorder="1" applyAlignment="1">
      <alignment horizontal="right"/>
    </xf>
    <xf numFmtId="169" fontId="2" fillId="0" borderId="9" xfId="1" applyNumberFormat="1" applyFont="1" applyBorder="1" applyAlignment="1">
      <alignment horizontal="right"/>
    </xf>
    <xf numFmtId="167" fontId="2" fillId="0" borderId="37" xfId="1" applyNumberFormat="1" applyFont="1" applyBorder="1" applyAlignment="1">
      <alignment horizontal="right"/>
    </xf>
    <xf numFmtId="167" fontId="2" fillId="0" borderId="43" xfId="1" applyNumberFormat="1" applyFont="1" applyBorder="1" applyAlignment="1">
      <alignment horizontal="right"/>
    </xf>
    <xf numFmtId="167" fontId="2" fillId="0" borderId="10" xfId="1" applyNumberFormat="1" applyFont="1" applyBorder="1" applyAlignment="1">
      <alignment horizontal="right"/>
    </xf>
    <xf numFmtId="167" fontId="2" fillId="0" borderId="16" xfId="1" applyNumberFormat="1" applyFont="1" applyBorder="1" applyAlignment="1">
      <alignment horizontal="right"/>
    </xf>
    <xf numFmtId="0" fontId="2" fillId="0" borderId="10" xfId="0" applyFont="1" applyBorder="1">
      <alignment vertical="center"/>
    </xf>
    <xf numFmtId="167" fontId="2" fillId="0" borderId="8" xfId="1" applyNumberFormat="1" applyFont="1" applyBorder="1" applyAlignment="1">
      <alignment horizontal="right"/>
    </xf>
    <xf numFmtId="167" fontId="2" fillId="0" borderId="9" xfId="1" applyNumberFormat="1" applyFont="1" applyBorder="1" applyAlignment="1">
      <alignment horizontal="right"/>
    </xf>
    <xf numFmtId="38" fontId="1" fillId="0" borderId="13" xfId="0" applyNumberFormat="1" applyFont="1" applyBorder="1">
      <alignment vertical="center"/>
    </xf>
    <xf numFmtId="167" fontId="1" fillId="0" borderId="0" xfId="1" applyNumberFormat="1" applyFont="1" applyBorder="1" applyAlignment="1">
      <alignment horizontal="right"/>
    </xf>
    <xf numFmtId="167" fontId="1" fillId="0" borderId="16" xfId="1" applyNumberFormat="1" applyFont="1" applyBorder="1" applyAlignment="1">
      <alignment horizontal="right"/>
    </xf>
    <xf numFmtId="167" fontId="2" fillId="0" borderId="0" xfId="1" applyNumberFormat="1" applyFont="1" applyAlignment="1">
      <alignment horizontal="right"/>
    </xf>
    <xf numFmtId="167" fontId="2" fillId="0" borderId="2" xfId="1" applyNumberFormat="1" applyFont="1" applyBorder="1" applyAlignment="1">
      <alignment horizontal="right"/>
    </xf>
    <xf numFmtId="167" fontId="1" fillId="0" borderId="43" xfId="1" applyNumberFormat="1" applyFont="1" applyBorder="1" applyAlignment="1">
      <alignment horizontal="right"/>
    </xf>
    <xf numFmtId="167" fontId="2" fillId="0" borderId="0" xfId="1" applyNumberFormat="1" applyFont="1" applyBorder="1" applyAlignment="1">
      <alignment horizontal="right"/>
    </xf>
    <xf numFmtId="166" fontId="2" fillId="0" borderId="0" xfId="1" applyNumberFormat="1" applyFont="1" applyAlignment="1">
      <alignment horizontal="centerContinuous"/>
    </xf>
    <xf numFmtId="166" fontId="2" fillId="0" borderId="0" xfId="1" applyNumberFormat="1" applyFont="1" applyAlignment="1">
      <alignment horizontal="center"/>
    </xf>
    <xf numFmtId="166" fontId="2" fillId="0" borderId="2" xfId="1" applyNumberFormat="1" applyFont="1" applyBorder="1" applyAlignment="1">
      <alignment horizontal="centerContinuous"/>
    </xf>
    <xf numFmtId="166" fontId="2" fillId="0" borderId="2" xfId="1" applyNumberFormat="1" applyFont="1" applyBorder="1" applyAlignment="1">
      <alignment horizontal="center"/>
    </xf>
    <xf numFmtId="166" fontId="1" fillId="0" borderId="0" xfId="1" applyNumberFormat="1" applyFont="1" applyBorder="1" applyAlignment="1">
      <alignment horizontal="centerContinuous"/>
    </xf>
    <xf numFmtId="38" fontId="2" fillId="0" borderId="0" xfId="0" applyNumberFormat="1" applyFont="1">
      <alignment vertical="center"/>
    </xf>
    <xf numFmtId="3" fontId="0" fillId="0" borderId="43" xfId="0" applyNumberFormat="1" applyBorder="1" applyAlignment="1">
      <alignment horizontal="center"/>
    </xf>
    <xf numFmtId="0" fontId="1" fillId="0" borderId="1" xfId="0" applyFont="1" applyFill="1" applyBorder="1" applyAlignment="1">
      <alignment horizontal="left"/>
    </xf>
    <xf numFmtId="0" fontId="8" fillId="0" borderId="1" xfId="0" applyFont="1" applyFill="1" applyBorder="1" applyAlignment="1">
      <alignment horizontal="left"/>
    </xf>
    <xf numFmtId="167" fontId="1" fillId="0" borderId="18" xfId="1" applyNumberFormat="1" applyFont="1" applyBorder="1" applyAlignment="1">
      <alignment horizontal="right"/>
    </xf>
    <xf numFmtId="0" fontId="6" fillId="0" borderId="45" xfId="0" applyFont="1" applyBorder="1" applyAlignment="1">
      <alignment vertical="center"/>
    </xf>
    <xf numFmtId="0" fontId="6" fillId="0" borderId="34" xfId="0" applyFont="1" applyBorder="1" applyAlignment="1">
      <alignment vertical="center"/>
    </xf>
    <xf numFmtId="0" fontId="5" fillId="0" borderId="35" xfId="0" applyFont="1" applyBorder="1" applyAlignment="1">
      <alignment vertical="center"/>
    </xf>
    <xf numFmtId="0" fontId="5" fillId="0" borderId="46" xfId="0" applyFont="1" applyBorder="1" applyAlignment="1">
      <alignment vertical="center"/>
    </xf>
    <xf numFmtId="0" fontId="5" fillId="0" borderId="23" xfId="0" applyFont="1" applyBorder="1" applyAlignment="1">
      <alignment vertical="center"/>
    </xf>
    <xf numFmtId="0" fontId="5" fillId="0" borderId="24" xfId="0" applyFont="1" applyBorder="1" applyAlignment="1">
      <alignment vertical="center"/>
    </xf>
    <xf numFmtId="3" fontId="6" fillId="0" borderId="26" xfId="0" applyNumberFormat="1" applyFont="1" applyBorder="1" applyAlignment="1">
      <alignment horizontal="right" indent="2"/>
    </xf>
    <xf numFmtId="3" fontId="6" fillId="0" borderId="32" xfId="0" applyNumberFormat="1" applyFont="1" applyBorder="1" applyAlignment="1">
      <alignment horizontal="right" indent="1"/>
    </xf>
    <xf numFmtId="3" fontId="6" fillId="0" borderId="53" xfId="0" applyNumberFormat="1" applyFont="1" applyBorder="1" applyAlignment="1">
      <alignment horizontal="right" indent="1"/>
    </xf>
    <xf numFmtId="3" fontId="6" fillId="0" borderId="52" xfId="0" applyNumberFormat="1" applyFont="1" applyBorder="1" applyAlignment="1">
      <alignment horizontal="right" indent="1"/>
    </xf>
    <xf numFmtId="3" fontId="6" fillId="0" borderId="30" xfId="0" applyNumberFormat="1" applyFont="1" applyBorder="1" applyAlignment="1">
      <alignment horizontal="right" indent="1"/>
    </xf>
    <xf numFmtId="3" fontId="6" fillId="0" borderId="28" xfId="0" applyNumberFormat="1" applyFont="1" applyBorder="1" applyAlignment="1">
      <alignment horizontal="right" indent="1"/>
    </xf>
    <xf numFmtId="3" fontId="6" fillId="0" borderId="3" xfId="0" applyNumberFormat="1" applyFont="1" applyBorder="1" applyAlignment="1">
      <alignment horizontal="right" indent="1"/>
    </xf>
    <xf numFmtId="3" fontId="6" fillId="0" borderId="24" xfId="0" applyNumberFormat="1" applyFont="1" applyBorder="1" applyAlignment="1">
      <alignment horizontal="right" indent="1"/>
    </xf>
    <xf numFmtId="3" fontId="6" fillId="0" borderId="26" xfId="0" applyNumberFormat="1" applyFont="1" applyBorder="1" applyAlignment="1">
      <alignment horizontal="right" indent="1"/>
    </xf>
    <xf numFmtId="3" fontId="6" fillId="0" borderId="6" xfId="0" applyNumberFormat="1" applyFont="1" applyBorder="1" applyAlignment="1">
      <alignment horizontal="right" indent="1"/>
    </xf>
    <xf numFmtId="3" fontId="0" fillId="0" borderId="0" xfId="0" applyNumberFormat="1" applyBorder="1" applyAlignment="1">
      <alignment horizontal="right" indent="3"/>
    </xf>
    <xf numFmtId="3" fontId="0" fillId="0" borderId="0" xfId="0" applyNumberFormat="1" applyFill="1" applyBorder="1" applyAlignment="1">
      <alignment horizontal="right" indent="3"/>
    </xf>
    <xf numFmtId="3" fontId="2" fillId="0" borderId="0" xfId="0" applyNumberFormat="1" applyFont="1" applyFill="1" applyBorder="1" applyAlignment="1">
      <alignment horizontal="right" indent="3"/>
    </xf>
    <xf numFmtId="3" fontId="0" fillId="0" borderId="2" xfId="0" applyNumberFormat="1" applyFill="1" applyBorder="1" applyAlignment="1">
      <alignment horizontal="right" indent="3"/>
    </xf>
    <xf numFmtId="3" fontId="0" fillId="0" borderId="2" xfId="0" applyNumberFormat="1" applyBorder="1" applyAlignment="1">
      <alignment horizontal="right" indent="3"/>
    </xf>
    <xf numFmtId="3" fontId="0" fillId="0" borderId="4" xfId="0" applyNumberFormat="1" applyBorder="1" applyAlignment="1">
      <alignment horizontal="right" indent="3"/>
    </xf>
    <xf numFmtId="167" fontId="15" fillId="0" borderId="0" xfId="1" applyNumberFormat="1" applyFont="1" applyBorder="1" applyAlignment="1">
      <alignment horizontal="right" indent="3"/>
    </xf>
    <xf numFmtId="167" fontId="15" fillId="0" borderId="16" xfId="1" applyNumberFormat="1" applyFont="1" applyBorder="1" applyAlignment="1">
      <alignment horizontal="right" indent="3"/>
    </xf>
    <xf numFmtId="167" fontId="15" fillId="0" borderId="2" xfId="1" applyNumberFormat="1" applyFont="1" applyBorder="1" applyAlignment="1">
      <alignment horizontal="right" indent="3"/>
    </xf>
    <xf numFmtId="167" fontId="15" fillId="0" borderId="9" xfId="1" applyNumberFormat="1" applyFont="1" applyBorder="1" applyAlignment="1">
      <alignment horizontal="right" indent="3"/>
    </xf>
    <xf numFmtId="168" fontId="15" fillId="0" borderId="2" xfId="1" applyNumberFormat="1" applyFont="1" applyBorder="1" applyAlignment="1">
      <alignment horizontal="right" indent="3"/>
    </xf>
    <xf numFmtId="3" fontId="0" fillId="0" borderId="0" xfId="0" applyNumberFormat="1" applyBorder="1" applyAlignment="1">
      <alignment horizontal="right" indent="2"/>
    </xf>
    <xf numFmtId="3" fontId="2" fillId="0" borderId="0" xfId="0" applyNumberFormat="1" applyFont="1" applyBorder="1" applyAlignment="1">
      <alignment horizontal="right" indent="2"/>
    </xf>
    <xf numFmtId="3" fontId="1" fillId="0" borderId="4" xfId="0" applyNumberFormat="1" applyFont="1" applyBorder="1" applyAlignment="1">
      <alignment horizontal="right" indent="2"/>
    </xf>
    <xf numFmtId="3" fontId="16" fillId="0" borderId="16" xfId="0" applyNumberFormat="1" applyFont="1" applyBorder="1" applyAlignment="1">
      <alignment horizontal="right" indent="4"/>
    </xf>
    <xf numFmtId="3" fontId="8" fillId="0" borderId="5" xfId="0" applyNumberFormat="1" applyFont="1" applyBorder="1" applyAlignment="1">
      <alignment horizontal="right" indent="4"/>
    </xf>
    <xf numFmtId="3" fontId="6" fillId="0" borderId="12" xfId="0" applyNumberFormat="1" applyFont="1" applyBorder="1" applyAlignment="1">
      <alignment horizontal="right" indent="2"/>
    </xf>
    <xf numFmtId="3" fontId="6" fillId="0" borderId="27" xfId="0" applyNumberFormat="1" applyFont="1" applyBorder="1" applyAlignment="1">
      <alignment horizontal="right" indent="2"/>
    </xf>
    <xf numFmtId="3" fontId="6" fillId="0" borderId="47" xfId="0" applyNumberFormat="1" applyFont="1" applyBorder="1" applyAlignment="1">
      <alignment horizontal="right" indent="2"/>
    </xf>
    <xf numFmtId="3" fontId="6" fillId="0" borderId="7" xfId="0" applyNumberFormat="1" applyFont="1" applyBorder="1" applyAlignment="1">
      <alignment horizontal="right" indent="2"/>
    </xf>
    <xf numFmtId="3" fontId="6" fillId="0" borderId="20" xfId="0" applyNumberFormat="1" applyFont="1" applyBorder="1" applyAlignment="1">
      <alignment horizontal="right" indent="2"/>
    </xf>
    <xf numFmtId="3" fontId="5" fillId="0" borderId="10" xfId="0" applyNumberFormat="1" applyFont="1" applyBorder="1" applyAlignment="1">
      <alignment horizontal="right" indent="2"/>
    </xf>
    <xf numFmtId="3" fontId="5" fillId="0" borderId="11" xfId="0" applyNumberFormat="1" applyFont="1" applyBorder="1" applyAlignment="1">
      <alignment horizontal="right" indent="2"/>
    </xf>
    <xf numFmtId="3" fontId="5" fillId="0" borderId="50" xfId="0" applyNumberFormat="1" applyFont="1" applyBorder="1" applyAlignment="1">
      <alignment horizontal="right" indent="2"/>
    </xf>
    <xf numFmtId="3" fontId="5" fillId="0" borderId="19" xfId="0" applyNumberFormat="1" applyFont="1" applyBorder="1" applyAlignment="1">
      <alignment horizontal="right" indent="2"/>
    </xf>
    <xf numFmtId="3" fontId="5" fillId="0" borderId="39" xfId="0" applyNumberFormat="1" applyFont="1" applyBorder="1" applyAlignment="1">
      <alignment horizontal="right" indent="2"/>
    </xf>
    <xf numFmtId="3" fontId="5" fillId="0" borderId="53" xfId="0" applyNumberFormat="1" applyFont="1" applyBorder="1" applyAlignment="1">
      <alignment horizontal="right" indent="2"/>
    </xf>
    <xf numFmtId="38" fontId="17" fillId="0" borderId="2" xfId="0" applyNumberFormat="1" applyFont="1" applyBorder="1">
      <alignment vertical="center"/>
    </xf>
    <xf numFmtId="10" fontId="0" fillId="0" borderId="0" xfId="1" applyNumberFormat="1" applyFont="1" applyAlignment="1">
      <alignment horizontal="center"/>
    </xf>
    <xf numFmtId="4" fontId="0" fillId="0" borderId="0" xfId="0" applyNumberFormat="1">
      <alignment vertical="center"/>
    </xf>
    <xf numFmtId="165" fontId="1" fillId="0" borderId="2" xfId="1" applyNumberFormat="1" applyFont="1" applyBorder="1" applyAlignment="1">
      <alignment horizontal="center"/>
    </xf>
    <xf numFmtId="10" fontId="2" fillId="0" borderId="2" xfId="1" applyNumberFormat="1" applyFont="1" applyBorder="1" applyAlignment="1">
      <alignment horizontal="right"/>
    </xf>
    <xf numFmtId="10" fontId="2" fillId="0" borderId="9" xfId="1" applyNumberFormat="1" applyFont="1" applyBorder="1" applyAlignment="1">
      <alignment horizontal="right"/>
    </xf>
    <xf numFmtId="167" fontId="9" fillId="0" borderId="10" xfId="0" applyNumberFormat="1" applyFont="1" applyBorder="1" applyAlignment="1">
      <alignment horizontal="center" vertical="center"/>
    </xf>
    <xf numFmtId="167" fontId="9" fillId="0" borderId="16" xfId="0" applyNumberFormat="1" applyFont="1" applyBorder="1" applyAlignment="1">
      <alignment horizontal="center" vertical="center"/>
    </xf>
    <xf numFmtId="168" fontId="2" fillId="0" borderId="0" xfId="1" applyNumberFormat="1" applyFont="1" applyBorder="1" applyAlignment="1">
      <alignment horizontal="right"/>
    </xf>
    <xf numFmtId="0" fontId="0" fillId="0" borderId="0" xfId="0" applyAlignment="1">
      <alignment vertical="center"/>
    </xf>
    <xf numFmtId="0" fontId="5" fillId="0" borderId="54" xfId="0" applyFont="1" applyBorder="1" applyAlignment="1">
      <alignment horizontal="center"/>
    </xf>
    <xf numFmtId="0" fontId="5" fillId="0" borderId="55" xfId="0" applyFont="1" applyBorder="1" applyAlignment="1">
      <alignment horizontal="center" vertical="center"/>
    </xf>
    <xf numFmtId="3" fontId="18" fillId="0" borderId="55" xfId="0" applyNumberFormat="1" applyFont="1" applyBorder="1" applyAlignment="1">
      <alignment horizontal="center" vertical="center"/>
    </xf>
    <xf numFmtId="0" fontId="5" fillId="2" borderId="57" xfId="0" applyFont="1" applyFill="1" applyBorder="1" applyAlignment="1">
      <alignment horizontal="left" vertical="center"/>
    </xf>
    <xf numFmtId="0" fontId="0" fillId="2" borderId="52" xfId="0" applyFill="1" applyBorder="1">
      <alignment vertical="center"/>
    </xf>
    <xf numFmtId="0" fontId="5" fillId="2" borderId="56" xfId="0" applyFont="1" applyFill="1" applyBorder="1" applyAlignment="1">
      <alignment horizontal="left" vertical="center"/>
    </xf>
    <xf numFmtId="0" fontId="0" fillId="2" borderId="33" xfId="0" applyFill="1" applyBorder="1">
      <alignment vertical="center"/>
    </xf>
    <xf numFmtId="0" fontId="5" fillId="2" borderId="35" xfId="0" applyFont="1" applyFill="1" applyBorder="1" applyAlignment="1">
      <alignment horizontal="center" vertical="center"/>
    </xf>
    <xf numFmtId="0" fontId="5" fillId="2" borderId="58" xfId="0" applyFont="1" applyFill="1" applyBorder="1" applyAlignment="1">
      <alignment horizontal="center" vertical="center"/>
    </xf>
    <xf numFmtId="0" fontId="5" fillId="2" borderId="54" xfId="0" applyFont="1" applyFill="1" applyBorder="1" applyAlignment="1">
      <alignment horizontal="center" vertical="center"/>
    </xf>
    <xf numFmtId="1" fontId="0" fillId="2" borderId="46" xfId="0" applyNumberFormat="1" applyFill="1" applyBorder="1">
      <alignment vertical="center"/>
    </xf>
    <xf numFmtId="3" fontId="0" fillId="2" borderId="8" xfId="0" applyNumberFormat="1" applyFill="1" applyBorder="1">
      <alignment vertical="center"/>
    </xf>
    <xf numFmtId="10" fontId="0" fillId="2" borderId="46" xfId="0" applyNumberFormat="1" applyFill="1" applyBorder="1">
      <alignment vertical="center"/>
    </xf>
    <xf numFmtId="10" fontId="0" fillId="2" borderId="47" xfId="0" applyNumberFormat="1" applyFill="1" applyBorder="1">
      <alignment vertical="center"/>
    </xf>
    <xf numFmtId="0" fontId="0" fillId="2" borderId="35" xfId="0" applyFill="1" applyBorder="1">
      <alignment vertical="center"/>
    </xf>
    <xf numFmtId="0" fontId="0" fillId="2" borderId="58" xfId="0" applyFill="1" applyBorder="1">
      <alignment vertical="center"/>
    </xf>
    <xf numFmtId="0" fontId="0" fillId="2" borderId="54" xfId="0" applyFill="1" applyBorder="1">
      <alignment vertical="center"/>
    </xf>
    <xf numFmtId="3" fontId="16" fillId="0" borderId="0" xfId="0" applyNumberFormat="1" applyFont="1" applyBorder="1" applyAlignment="1">
      <alignment horizontal="center"/>
    </xf>
    <xf numFmtId="3" fontId="16" fillId="0" borderId="5" xfId="0" applyNumberFormat="1" applyFont="1" applyBorder="1" applyAlignment="1">
      <alignment horizontal="center"/>
    </xf>
    <xf numFmtId="0" fontId="1" fillId="0" borderId="4" xfId="0" applyFont="1" applyFill="1" applyBorder="1">
      <alignment vertical="center"/>
    </xf>
    <xf numFmtId="38" fontId="1" fillId="0" borderId="0" xfId="0" applyNumberFormat="1" applyFont="1" applyAlignment="1">
      <alignment horizontal="right" vertical="center"/>
    </xf>
    <xf numFmtId="169" fontId="2" fillId="0" borderId="37" xfId="1" applyNumberFormat="1" applyBorder="1" applyAlignment="1">
      <alignment horizontal="right"/>
    </xf>
    <xf numFmtId="169" fontId="2" fillId="0" borderId="43" xfId="1" applyNumberFormat="1" applyBorder="1" applyAlignment="1">
      <alignment horizontal="right"/>
    </xf>
    <xf numFmtId="169" fontId="2" fillId="0" borderId="10" xfId="1" applyNumberFormat="1" applyBorder="1" applyAlignment="1">
      <alignment horizontal="right"/>
    </xf>
    <xf numFmtId="169" fontId="2" fillId="0" borderId="16" xfId="1" applyNumberFormat="1" applyBorder="1" applyAlignment="1">
      <alignment horizontal="right"/>
    </xf>
    <xf numFmtId="169" fontId="2" fillId="0" borderId="8" xfId="1" applyNumberFormat="1" applyBorder="1" applyAlignment="1">
      <alignment horizontal="right"/>
    </xf>
    <xf numFmtId="169" fontId="2" fillId="0" borderId="9" xfId="1" applyNumberFormat="1" applyBorder="1" applyAlignment="1">
      <alignment horizontal="right"/>
    </xf>
    <xf numFmtId="168" fontId="1" fillId="0" borderId="0" xfId="1" applyNumberFormat="1" applyFont="1" applyAlignment="1">
      <alignment horizontal="right"/>
    </xf>
    <xf numFmtId="168" fontId="1" fillId="0" borderId="37" xfId="1" applyNumberFormat="1" applyFont="1" applyBorder="1" applyAlignment="1">
      <alignment horizontal="right"/>
    </xf>
    <xf numFmtId="3" fontId="1" fillId="0" borderId="8" xfId="0" applyNumberFormat="1" applyFont="1" applyBorder="1" applyAlignment="1">
      <alignment horizontal="center"/>
    </xf>
    <xf numFmtId="167" fontId="2" fillId="0" borderId="0" xfId="1" applyNumberFormat="1" applyAlignment="1">
      <alignment horizontal="right"/>
    </xf>
    <xf numFmtId="167" fontId="2" fillId="0" borderId="43" xfId="1" applyNumberFormat="1" applyBorder="1" applyAlignment="1">
      <alignment horizontal="right"/>
    </xf>
    <xf numFmtId="167" fontId="2" fillId="0" borderId="16" xfId="1" applyNumberFormat="1" applyBorder="1" applyAlignment="1">
      <alignment horizontal="right"/>
    </xf>
    <xf numFmtId="167" fontId="2" fillId="0" borderId="2" xfId="1" applyNumberFormat="1" applyBorder="1" applyAlignment="1">
      <alignment horizontal="right"/>
    </xf>
    <xf numFmtId="167" fontId="2" fillId="0" borderId="9" xfId="1" applyNumberFormat="1" applyBorder="1" applyAlignment="1">
      <alignment horizontal="right"/>
    </xf>
    <xf numFmtId="167" fontId="1" fillId="0" borderId="0" xfId="1" applyNumberFormat="1" applyFont="1" applyAlignment="1">
      <alignment horizontal="right"/>
    </xf>
    <xf numFmtId="1" fontId="9" fillId="0" borderId="2" xfId="1" applyNumberFormat="1" applyFont="1" applyBorder="1" applyAlignment="1">
      <alignment horizontal="center"/>
    </xf>
    <xf numFmtId="1" fontId="9" fillId="0" borderId="9" xfId="1" applyNumberFormat="1" applyFont="1" applyBorder="1" applyAlignment="1">
      <alignment horizontal="center"/>
    </xf>
    <xf numFmtId="165" fontId="9" fillId="0" borderId="2" xfId="1" applyNumberFormat="1" applyFont="1" applyBorder="1" applyAlignment="1">
      <alignment horizontal="center"/>
    </xf>
    <xf numFmtId="165" fontId="9" fillId="0" borderId="9" xfId="1" applyNumberFormat="1" applyFont="1" applyBorder="1" applyAlignment="1">
      <alignment horizontal="center"/>
    </xf>
    <xf numFmtId="0" fontId="2" fillId="0" borderId="54" xfId="0" applyFont="1" applyBorder="1" applyAlignment="1">
      <alignment horizontal="center"/>
    </xf>
    <xf numFmtId="0" fontId="2" fillId="0" borderId="2" xfId="0" applyFont="1" applyBorder="1" applyAlignment="1">
      <alignment horizontal="center"/>
    </xf>
    <xf numFmtId="0" fontId="2" fillId="0" borderId="2" xfId="0" applyFont="1" applyBorder="1">
      <alignment vertical="center"/>
    </xf>
    <xf numFmtId="0" fontId="1" fillId="0" borderId="4" xfId="0" applyFont="1" applyBorder="1">
      <alignment vertical="center"/>
    </xf>
    <xf numFmtId="3" fontId="7" fillId="0" borderId="4" xfId="0" applyNumberFormat="1" applyFont="1" applyBorder="1" applyAlignment="1">
      <alignment horizontal="center"/>
    </xf>
    <xf numFmtId="167" fontId="11" fillId="0" borderId="0" xfId="1" applyNumberFormat="1" applyFont="1" applyAlignment="1">
      <alignment horizontal="right"/>
    </xf>
    <xf numFmtId="167" fontId="11" fillId="0" borderId="43" xfId="1" applyNumberFormat="1" applyFont="1" applyBorder="1" applyAlignment="1">
      <alignment horizontal="right"/>
    </xf>
    <xf numFmtId="167" fontId="11" fillId="0" borderId="16" xfId="1" applyNumberFormat="1" applyFont="1" applyBorder="1" applyAlignment="1">
      <alignment horizontal="right"/>
    </xf>
    <xf numFmtId="167" fontId="11" fillId="0" borderId="2" xfId="1" applyNumberFormat="1" applyFont="1" applyBorder="1" applyAlignment="1">
      <alignment horizontal="right"/>
    </xf>
    <xf numFmtId="167" fontId="11" fillId="0" borderId="9" xfId="1" applyNumberFormat="1" applyFont="1" applyBorder="1" applyAlignment="1">
      <alignment horizontal="right"/>
    </xf>
    <xf numFmtId="38" fontId="9" fillId="0" borderId="2" xfId="0" applyNumberFormat="1" applyFont="1" applyBorder="1">
      <alignment vertical="center"/>
    </xf>
    <xf numFmtId="165" fontId="1" fillId="0" borderId="9" xfId="1" applyNumberFormat="1" applyFont="1" applyBorder="1" applyAlignment="1">
      <alignment horizontal="center"/>
    </xf>
    <xf numFmtId="3" fontId="6" fillId="0" borderId="44" xfId="0" applyNumberFormat="1" applyFont="1" applyBorder="1" applyAlignment="1">
      <alignment horizontal="center"/>
    </xf>
    <xf numFmtId="0" fontId="5" fillId="0" borderId="42" xfId="0" applyFont="1" applyBorder="1" applyAlignment="1">
      <alignment vertical="center"/>
    </xf>
    <xf numFmtId="3" fontId="6" fillId="0" borderId="21" xfId="0" applyNumberFormat="1" applyFont="1" applyBorder="1" applyAlignment="1">
      <alignment horizontal="center"/>
    </xf>
    <xf numFmtId="3" fontId="6" fillId="0" borderId="59" xfId="0" applyNumberFormat="1" applyFont="1" applyBorder="1" applyAlignment="1">
      <alignment horizontal="center"/>
    </xf>
    <xf numFmtId="0" fontId="5" fillId="0" borderId="57" xfId="0" applyFont="1" applyBorder="1" applyAlignment="1">
      <alignment horizontal="left"/>
    </xf>
    <xf numFmtId="3" fontId="5" fillId="0" borderId="52" xfId="0" applyNumberFormat="1" applyFont="1" applyBorder="1" applyAlignment="1">
      <alignment horizontal="center"/>
    </xf>
    <xf numFmtId="3" fontId="5" fillId="0" borderId="53" xfId="0" applyNumberFormat="1" applyFont="1" applyBorder="1" applyAlignment="1">
      <alignment horizontal="center"/>
    </xf>
    <xf numFmtId="0" fontId="0" fillId="0" borderId="0" xfId="0" applyFill="1">
      <alignment vertical="center"/>
    </xf>
    <xf numFmtId="0" fontId="3" fillId="0" borderId="0" xfId="0" applyFont="1" applyFill="1">
      <alignment vertical="center"/>
    </xf>
    <xf numFmtId="0" fontId="1" fillId="0" borderId="0" xfId="0" quotePrefix="1" applyFont="1" applyFill="1" applyBorder="1">
      <alignment vertical="center"/>
    </xf>
    <xf numFmtId="0" fontId="21" fillId="0" borderId="0" xfId="0" applyFont="1" applyAlignment="1">
      <alignment vertical="center" wrapText="1"/>
    </xf>
    <xf numFmtId="0" fontId="0" fillId="0" borderId="0" xfId="0" applyAlignment="1">
      <alignment vertical="center" wrapText="1"/>
    </xf>
    <xf numFmtId="0" fontId="14" fillId="0" borderId="22" xfId="0" applyFont="1" applyBorder="1" applyAlignment="1">
      <alignment horizontal="center"/>
    </xf>
    <xf numFmtId="0" fontId="14" fillId="0" borderId="25" xfId="0" applyFont="1" applyBorder="1" applyAlignment="1">
      <alignment horizontal="center"/>
    </xf>
    <xf numFmtId="0" fontId="14" fillId="0" borderId="17" xfId="0" applyFont="1" applyBorder="1" applyAlignment="1">
      <alignment horizontal="center"/>
    </xf>
    <xf numFmtId="0" fontId="14" fillId="0" borderId="33" xfId="0" applyFont="1" applyBorder="1" applyAlignment="1">
      <alignment horizontal="center"/>
    </xf>
    <xf numFmtId="0" fontId="2" fillId="0" borderId="0" xfId="0" applyFont="1" applyAlignment="1">
      <alignment vertical="center" wrapText="1"/>
    </xf>
    <xf numFmtId="0" fontId="5" fillId="0" borderId="3" xfId="0" applyFont="1" applyBorder="1" applyAlignment="1">
      <alignment horizontal="center"/>
    </xf>
    <xf numFmtId="0" fontId="5" fillId="0" borderId="5" xfId="0" applyFont="1" applyBorder="1" applyAlignment="1">
      <alignment horizontal="center"/>
    </xf>
    <xf numFmtId="0" fontId="7" fillId="0" borderId="1" xfId="0" applyFont="1" applyBorder="1" applyAlignment="1">
      <alignment horizontal="left"/>
    </xf>
    <xf numFmtId="0" fontId="0" fillId="2" borderId="0" xfId="0" applyFill="1">
      <alignment vertical="center"/>
    </xf>
    <xf numFmtId="0" fontId="7" fillId="0" borderId="0" xfId="0" applyFont="1" applyAlignment="1">
      <alignment horizontal="center"/>
    </xf>
    <xf numFmtId="0" fontId="2" fillId="0" borderId="0" xfId="0" applyFont="1" applyAlignment="1">
      <alignment horizontal="center"/>
    </xf>
    <xf numFmtId="0" fontId="7" fillId="0" borderId="2" xfId="0" applyFont="1" applyBorder="1" applyAlignment="1">
      <alignment horizontal="center"/>
    </xf>
    <xf numFmtId="38" fontId="7" fillId="0" borderId="0" xfId="0" applyNumberFormat="1" applyFont="1">
      <alignment vertical="center"/>
    </xf>
    <xf numFmtId="0" fontId="0" fillId="0" borderId="37" xfId="0" applyBorder="1">
      <alignment vertical="center"/>
    </xf>
    <xf numFmtId="0" fontId="0" fillId="0" borderId="18" xfId="0" applyBorder="1">
      <alignment vertical="center"/>
    </xf>
    <xf numFmtId="0" fontId="0" fillId="0" borderId="43" xfId="0" applyBorder="1">
      <alignment vertical="center"/>
    </xf>
    <xf numFmtId="0" fontId="23" fillId="0" borderId="0" xfId="0" applyFont="1">
      <alignment vertical="center"/>
    </xf>
    <xf numFmtId="0" fontId="24" fillId="0" borderId="0" xfId="0" applyFont="1">
      <alignment vertical="center"/>
    </xf>
    <xf numFmtId="0" fontId="0" fillId="0" borderId="16" xfId="0" applyBorder="1">
      <alignment vertical="center"/>
    </xf>
    <xf numFmtId="0" fontId="1" fillId="2" borderId="0" xfId="0" applyFont="1" applyFill="1">
      <alignment vertical="center"/>
    </xf>
    <xf numFmtId="0" fontId="7" fillId="0" borderId="12" xfId="0" applyFont="1" applyBorder="1" applyAlignment="1">
      <alignment horizontal="centerContinuous"/>
    </xf>
    <xf numFmtId="167" fontId="2" fillId="0" borderId="37" xfId="1" applyNumberFormat="1" applyBorder="1" applyAlignment="1">
      <alignment horizontal="right"/>
    </xf>
    <xf numFmtId="167" fontId="2" fillId="0" borderId="10" xfId="1" applyNumberFormat="1" applyBorder="1" applyAlignment="1">
      <alignment horizontal="right"/>
    </xf>
    <xf numFmtId="167" fontId="2" fillId="0" borderId="8" xfId="1" applyNumberFormat="1" applyBorder="1" applyAlignment="1">
      <alignment horizontal="right"/>
    </xf>
    <xf numFmtId="0" fontId="1" fillId="0" borderId="35" xfId="0" applyFont="1" applyBorder="1">
      <alignment vertical="center"/>
    </xf>
    <xf numFmtId="0" fontId="1" fillId="0" borderId="60" xfId="0" applyFont="1" applyBorder="1" applyAlignment="1">
      <alignment horizontal="centerContinuous"/>
    </xf>
    <xf numFmtId="0" fontId="7" fillId="0" borderId="58" xfId="0" applyFont="1" applyBorder="1" applyAlignment="1">
      <alignment horizontal="centerContinuous"/>
    </xf>
    <xf numFmtId="0" fontId="1" fillId="0" borderId="60" xfId="0" applyFont="1" applyBorder="1">
      <alignment vertical="center"/>
    </xf>
    <xf numFmtId="0" fontId="1" fillId="0" borderId="54" xfId="0" applyFont="1" applyBorder="1" applyAlignment="1">
      <alignment horizontal="centerContinuous"/>
    </xf>
    <xf numFmtId="0" fontId="0" fillId="0" borderId="57" xfId="0" applyBorder="1">
      <alignment vertical="center"/>
    </xf>
    <xf numFmtId="3" fontId="0" fillId="0" borderId="12" xfId="0" applyNumberFormat="1" applyBorder="1" applyAlignment="1">
      <alignment horizontal="center"/>
    </xf>
    <xf numFmtId="3" fontId="0" fillId="0" borderId="47" xfId="0" applyNumberFormat="1" applyBorder="1" applyAlignment="1">
      <alignment horizontal="center"/>
    </xf>
    <xf numFmtId="0" fontId="0" fillId="0" borderId="48" xfId="0" applyBorder="1">
      <alignment vertical="center"/>
    </xf>
    <xf numFmtId="3" fontId="0" fillId="0" borderId="1" xfId="0" applyNumberFormat="1" applyBorder="1" applyAlignment="1">
      <alignment horizontal="center"/>
    </xf>
    <xf numFmtId="3" fontId="0" fillId="0" borderId="28" xfId="0" applyNumberFormat="1" applyBorder="1" applyAlignment="1">
      <alignment horizontal="center"/>
    </xf>
    <xf numFmtId="0" fontId="2" fillId="0" borderId="48" xfId="0" applyFont="1" applyBorder="1">
      <alignment vertical="center"/>
    </xf>
    <xf numFmtId="0" fontId="0" fillId="0" borderId="51" xfId="0" applyBorder="1">
      <alignment vertical="center"/>
    </xf>
    <xf numFmtId="3" fontId="0" fillId="0" borderId="21" xfId="0" applyNumberFormat="1" applyBorder="1" applyAlignment="1">
      <alignment horizontal="center"/>
    </xf>
    <xf numFmtId="3" fontId="0" fillId="0" borderId="44" xfId="0" applyNumberFormat="1" applyBorder="1" applyAlignment="1">
      <alignment horizontal="center"/>
    </xf>
    <xf numFmtId="0" fontId="1" fillId="0" borderId="32" xfId="0" applyFont="1" applyBorder="1">
      <alignment vertical="center"/>
    </xf>
    <xf numFmtId="3" fontId="1" fillId="0" borderId="17" xfId="0" applyNumberFormat="1" applyFont="1" applyBorder="1" applyAlignment="1">
      <alignment horizontal="center"/>
    </xf>
    <xf numFmtId="0" fontId="1" fillId="0" borderId="17" xfId="0" applyFont="1" applyBorder="1" applyAlignment="1">
      <alignment horizontal="center"/>
    </xf>
    <xf numFmtId="3" fontId="7" fillId="0" borderId="17" xfId="0" applyNumberFormat="1" applyFont="1" applyBorder="1" applyAlignment="1">
      <alignment horizontal="center"/>
    </xf>
    <xf numFmtId="3" fontId="1" fillId="0" borderId="33" xfId="0" applyNumberFormat="1" applyFont="1" applyBorder="1" applyAlignment="1">
      <alignment horizontal="center"/>
    </xf>
    <xf numFmtId="0" fontId="1" fillId="0" borderId="31" xfId="0" applyFont="1" applyBorder="1">
      <alignment vertical="center"/>
    </xf>
    <xf numFmtId="3" fontId="1" fillId="0" borderId="13" xfId="0" applyNumberFormat="1" applyFont="1" applyBorder="1" applyAlignment="1">
      <alignment horizontal="center"/>
    </xf>
    <xf numFmtId="3" fontId="1" fillId="0" borderId="29" xfId="0" applyNumberFormat="1" applyFont="1" applyBorder="1" applyAlignment="1">
      <alignment horizontal="center"/>
    </xf>
    <xf numFmtId="3" fontId="7" fillId="0" borderId="13" xfId="0" applyNumberFormat="1" applyFont="1" applyBorder="1" applyAlignment="1">
      <alignment horizontal="center"/>
    </xf>
    <xf numFmtId="0" fontId="14" fillId="0" borderId="0" xfId="0" applyFont="1">
      <alignment vertical="center"/>
    </xf>
    <xf numFmtId="0" fontId="0" fillId="0" borderId="32" xfId="0" applyBorder="1">
      <alignment vertical="center"/>
    </xf>
    <xf numFmtId="0" fontId="0" fillId="0" borderId="17" xfId="0" applyBorder="1">
      <alignment vertical="center"/>
    </xf>
    <xf numFmtId="0" fontId="0" fillId="0" borderId="33" xfId="0" applyBorder="1">
      <alignment vertical="center"/>
    </xf>
    <xf numFmtId="0" fontId="0" fillId="0" borderId="34" xfId="0" applyBorder="1">
      <alignment vertical="center"/>
    </xf>
    <xf numFmtId="0" fontId="0" fillId="0" borderId="38" xfId="0" applyBorder="1">
      <alignment vertical="center"/>
    </xf>
    <xf numFmtId="0" fontId="0" fillId="0" borderId="31" xfId="0" applyBorder="1">
      <alignment vertical="center"/>
    </xf>
    <xf numFmtId="0" fontId="0" fillId="0" borderId="13" xfId="0" applyBorder="1">
      <alignment vertical="center"/>
    </xf>
    <xf numFmtId="0" fontId="0" fillId="0" borderId="29" xfId="0" applyBorder="1">
      <alignment vertical="center"/>
    </xf>
    <xf numFmtId="3" fontId="2" fillId="0" borderId="2" xfId="0" applyNumberFormat="1" applyFont="1" applyBorder="1" applyAlignment="1">
      <alignment horizontal="center"/>
    </xf>
    <xf numFmtId="167" fontId="1" fillId="0" borderId="37" xfId="1" applyNumberFormat="1" applyFont="1" applyBorder="1" applyAlignment="1">
      <alignment horizontal="right"/>
    </xf>
    <xf numFmtId="167" fontId="1" fillId="0" borderId="3" xfId="1" applyNumberFormat="1" applyFont="1" applyBorder="1" applyAlignment="1">
      <alignment horizontal="right"/>
    </xf>
    <xf numFmtId="167" fontId="1" fillId="0" borderId="5" xfId="1" applyNumberFormat="1" applyFont="1" applyBorder="1" applyAlignment="1">
      <alignment horizontal="right"/>
    </xf>
    <xf numFmtId="9" fontId="1" fillId="0" borderId="8" xfId="0" applyNumberFormat="1" applyFont="1" applyBorder="1" applyAlignment="1">
      <alignment horizontal="center"/>
    </xf>
    <xf numFmtId="0" fontId="2" fillId="0" borderId="0" xfId="2" applyAlignment="1">
      <alignment horizontal="center"/>
    </xf>
    <xf numFmtId="3" fontId="0" fillId="0" borderId="13" xfId="0" applyNumberFormat="1" applyBorder="1" applyAlignment="1">
      <alignment horizontal="center"/>
    </xf>
    <xf numFmtId="167" fontId="2" fillId="0" borderId="13" xfId="1" applyNumberFormat="1" applyBorder="1" applyAlignment="1">
      <alignment horizontal="right"/>
    </xf>
    <xf numFmtId="167" fontId="2" fillId="0" borderId="40" xfId="1" applyNumberFormat="1" applyBorder="1" applyAlignment="1">
      <alignment horizontal="right"/>
    </xf>
    <xf numFmtId="0" fontId="1" fillId="0" borderId="16" xfId="0" applyFont="1" applyBorder="1">
      <alignment vertical="center"/>
    </xf>
    <xf numFmtId="0" fontId="1" fillId="0" borderId="9" xfId="0" applyFont="1" applyBorder="1">
      <alignment vertical="center"/>
    </xf>
    <xf numFmtId="0" fontId="1" fillId="0" borderId="21" xfId="0" applyFont="1" applyBorder="1" applyAlignment="1">
      <alignment horizontal="centerContinuous"/>
    </xf>
    <xf numFmtId="0" fontId="0" fillId="0" borderId="13" xfId="0" applyBorder="1" applyAlignment="1">
      <alignment horizontal="center"/>
    </xf>
    <xf numFmtId="3" fontId="0" fillId="0" borderId="40" xfId="0" applyNumberFormat="1" applyBorder="1" applyAlignment="1">
      <alignment horizontal="center"/>
    </xf>
    <xf numFmtId="167" fontId="2" fillId="0" borderId="19" xfId="1" applyNumberFormat="1" applyBorder="1" applyAlignment="1">
      <alignment horizontal="right"/>
    </xf>
    <xf numFmtId="3" fontId="1" fillId="0" borderId="16" xfId="0" applyNumberFormat="1" applyFont="1" applyBorder="1" applyAlignment="1">
      <alignment horizontal="center"/>
    </xf>
    <xf numFmtId="3" fontId="1" fillId="0" borderId="5" xfId="0" applyNumberFormat="1" applyFont="1" applyBorder="1" applyAlignment="1">
      <alignment horizontal="center"/>
    </xf>
    <xf numFmtId="0" fontId="7" fillId="0" borderId="1" xfId="0" applyFont="1" applyBorder="1" applyAlignment="1">
      <alignment horizontal="center"/>
    </xf>
    <xf numFmtId="3" fontId="0" fillId="2" borderId="0" xfId="0" applyNumberFormat="1" applyFill="1" applyAlignment="1">
      <alignment horizontal="center"/>
    </xf>
    <xf numFmtId="166" fontId="2" fillId="0" borderId="0" xfId="1" applyNumberFormat="1" applyAlignment="1">
      <alignment horizontal="centerContinuous"/>
    </xf>
    <xf numFmtId="166" fontId="2" fillId="0" borderId="0" xfId="1" applyNumberFormat="1" applyAlignment="1">
      <alignment horizontal="center"/>
    </xf>
    <xf numFmtId="166" fontId="2" fillId="0" borderId="2" xfId="1" applyNumberFormat="1" applyBorder="1" applyAlignment="1">
      <alignment horizontal="centerContinuous"/>
    </xf>
    <xf numFmtId="166" fontId="2" fillId="0" borderId="2" xfId="1" applyNumberFormat="1" applyBorder="1" applyAlignment="1">
      <alignment horizontal="center"/>
    </xf>
    <xf numFmtId="166" fontId="1" fillId="0" borderId="0" xfId="1" applyNumberFormat="1" applyFont="1" applyAlignment="1">
      <alignment horizontal="centerContinuous"/>
    </xf>
    <xf numFmtId="0" fontId="1" fillId="0" borderId="13" xfId="0" applyFont="1" applyBorder="1">
      <alignment vertical="center"/>
    </xf>
    <xf numFmtId="0" fontId="23" fillId="0" borderId="13" xfId="0" applyFont="1" applyBorder="1">
      <alignment vertical="center"/>
    </xf>
    <xf numFmtId="0" fontId="1" fillId="0" borderId="3" xfId="0" applyFont="1" applyBorder="1" applyAlignment="1">
      <alignment horizontal="center" vertical="center"/>
    </xf>
    <xf numFmtId="10" fontId="2" fillId="0" borderId="2" xfId="1" applyNumberFormat="1" applyBorder="1" applyAlignment="1">
      <alignment horizontal="right"/>
    </xf>
    <xf numFmtId="10" fontId="2" fillId="0" borderId="9" xfId="1" applyNumberFormat="1" applyBorder="1" applyAlignment="1">
      <alignment horizontal="right"/>
    </xf>
    <xf numFmtId="0" fontId="1" fillId="0" borderId="1" xfId="0" applyFont="1" applyBorder="1" applyAlignment="1">
      <alignment horizontal="left" vertical="top"/>
    </xf>
    <xf numFmtId="0" fontId="0" fillId="0" borderId="0" xfId="0" applyAlignment="1"/>
    <xf numFmtId="0" fontId="1" fillId="0" borderId="10" xfId="0" applyFont="1" applyBorder="1" applyAlignment="1">
      <alignment horizontal="center"/>
    </xf>
    <xf numFmtId="0" fontId="1" fillId="0" borderId="21" xfId="0" applyFont="1" applyBorder="1" applyAlignment="1">
      <alignment horizontal="center"/>
    </xf>
    <xf numFmtId="38" fontId="9" fillId="0" borderId="13" xfId="0" applyNumberFormat="1" applyFont="1" applyBorder="1">
      <alignment vertical="center"/>
    </xf>
    <xf numFmtId="3" fontId="0" fillId="0" borderId="13" xfId="0" applyNumberFormat="1" applyBorder="1">
      <alignment vertical="center"/>
    </xf>
    <xf numFmtId="3" fontId="1" fillId="0" borderId="2" xfId="0" applyNumberFormat="1" applyFont="1" applyBorder="1" applyAlignment="1">
      <alignment horizontal="center" vertical="center"/>
    </xf>
    <xf numFmtId="3" fontId="1" fillId="0" borderId="4" xfId="0" applyNumberFormat="1" applyFont="1" applyBorder="1" applyAlignment="1">
      <alignment horizontal="center" vertical="center"/>
    </xf>
    <xf numFmtId="3" fontId="1" fillId="0" borderId="5" xfId="0" applyNumberFormat="1" applyFont="1" applyBorder="1" applyAlignment="1">
      <alignment horizontal="center" vertical="center"/>
    </xf>
    <xf numFmtId="0" fontId="22" fillId="0" borderId="0" xfId="4" applyFont="1" applyAlignment="1">
      <alignment horizontal="center"/>
    </xf>
    <xf numFmtId="3" fontId="0" fillId="0" borderId="0" xfId="0" applyNumberFormat="1" applyAlignment="1">
      <alignment horizontal="right" indent="3"/>
    </xf>
    <xf numFmtId="167" fontId="15" fillId="0" borderId="0" xfId="1" applyNumberFormat="1" applyFont="1" applyAlignment="1">
      <alignment horizontal="right" indent="3"/>
    </xf>
    <xf numFmtId="3" fontId="1" fillId="2" borderId="0" xfId="0" applyNumberFormat="1" applyFont="1" applyFill="1" applyAlignment="1">
      <alignment horizontal="left"/>
    </xf>
    <xf numFmtId="3" fontId="0" fillId="2" borderId="0" xfId="0" applyNumberFormat="1" applyFill="1" applyAlignment="1">
      <alignment horizontal="right" indent="3"/>
    </xf>
    <xf numFmtId="3" fontId="2" fillId="0" borderId="0" xfId="0" applyNumberFormat="1" applyFont="1" applyAlignment="1">
      <alignment horizontal="right" indent="3"/>
    </xf>
    <xf numFmtId="10" fontId="15" fillId="0" borderId="2" xfId="1" applyNumberFormat="1" applyFont="1" applyBorder="1" applyAlignment="1">
      <alignment horizontal="right" indent="3"/>
    </xf>
    <xf numFmtId="0" fontId="25" fillId="0" borderId="0" xfId="0" applyFont="1" applyAlignment="1">
      <alignment horizontal="left" vertical="center" readingOrder="1"/>
    </xf>
    <xf numFmtId="3" fontId="16" fillId="0" borderId="43" xfId="0" applyNumberFormat="1" applyFont="1" applyBorder="1" applyAlignment="1">
      <alignment horizontal="center"/>
    </xf>
    <xf numFmtId="3" fontId="2" fillId="0" borderId="0" xfId="0" applyNumberFormat="1" applyFont="1" applyAlignment="1">
      <alignment horizontal="left"/>
    </xf>
    <xf numFmtId="0" fontId="2" fillId="0" borderId="45" xfId="0" applyFont="1" applyBorder="1">
      <alignment vertical="center"/>
    </xf>
    <xf numFmtId="0" fontId="1" fillId="0" borderId="32" xfId="0" applyFont="1" applyBorder="1" applyAlignment="1">
      <alignment horizontal="center"/>
    </xf>
    <xf numFmtId="0" fontId="1" fillId="0" borderId="41" xfId="0" applyFont="1" applyBorder="1" applyAlignment="1">
      <alignment horizontal="center"/>
    </xf>
    <xf numFmtId="0" fontId="1" fillId="0" borderId="52" xfId="0" applyFont="1" applyBorder="1" applyAlignment="1">
      <alignment horizontal="center" vertical="center"/>
    </xf>
    <xf numFmtId="0" fontId="1" fillId="0" borderId="33" xfId="0" applyFont="1" applyBorder="1" applyAlignment="1">
      <alignment horizontal="center" vertical="center"/>
    </xf>
    <xf numFmtId="0" fontId="1" fillId="0" borderId="33" xfId="0" applyFont="1" applyBorder="1" applyAlignment="1">
      <alignment horizontal="center"/>
    </xf>
    <xf numFmtId="0" fontId="1" fillId="0" borderId="32" xfId="0" applyFont="1" applyBorder="1" applyAlignment="1">
      <alignment horizontal="centerContinuous"/>
    </xf>
    <xf numFmtId="0" fontId="1" fillId="0" borderId="33" xfId="0" applyFont="1" applyBorder="1" applyAlignment="1">
      <alignment horizontal="centerContinuous"/>
    </xf>
    <xf numFmtId="0" fontId="2" fillId="0" borderId="34" xfId="0" applyFont="1" applyBorder="1">
      <alignment vertical="center"/>
    </xf>
    <xf numFmtId="0" fontId="1" fillId="0" borderId="34" xfId="0" applyFont="1" applyBorder="1" applyAlignment="1">
      <alignment horizontal="centerContinuous"/>
    </xf>
    <xf numFmtId="0" fontId="1" fillId="0" borderId="0" xfId="0" applyFont="1" applyAlignment="1">
      <alignment horizontal="center"/>
    </xf>
    <xf numFmtId="0" fontId="1" fillId="0" borderId="38" xfId="0" applyFont="1" applyBorder="1" applyAlignment="1">
      <alignment horizontal="right"/>
    </xf>
    <xf numFmtId="0" fontId="1" fillId="0" borderId="34" xfId="0" applyFont="1" applyBorder="1" applyAlignment="1">
      <alignment horizontal="center"/>
    </xf>
    <xf numFmtId="0" fontId="1" fillId="0" borderId="38" xfId="0" applyFont="1" applyBorder="1" applyAlignment="1">
      <alignment horizontal="center"/>
    </xf>
    <xf numFmtId="0" fontId="1" fillId="0" borderId="38" xfId="0" applyFont="1" applyBorder="1" applyAlignment="1">
      <alignment horizontal="centerContinuous"/>
    </xf>
    <xf numFmtId="0" fontId="1" fillId="0" borderId="31" xfId="0" applyFont="1" applyBorder="1" applyAlignment="1">
      <alignment horizontal="center"/>
    </xf>
    <xf numFmtId="0" fontId="1" fillId="0" borderId="40" xfId="0" applyFont="1" applyBorder="1" applyAlignment="1">
      <alignment horizontal="center"/>
    </xf>
    <xf numFmtId="0" fontId="1" fillId="0" borderId="19" xfId="0" applyFont="1" applyBorder="1" applyAlignment="1">
      <alignment horizontal="center"/>
    </xf>
    <xf numFmtId="0" fontId="1" fillId="0" borderId="29" xfId="0" applyFont="1" applyBorder="1" applyAlignment="1">
      <alignment horizontal="center"/>
    </xf>
    <xf numFmtId="0" fontId="1" fillId="0" borderId="31" xfId="0" applyFont="1" applyBorder="1" applyAlignment="1">
      <alignment horizontal="centerContinuous"/>
    </xf>
    <xf numFmtId="0" fontId="1" fillId="0" borderId="29" xfId="0" applyFont="1" applyBorder="1" applyAlignment="1">
      <alignment horizontal="centerContinuous"/>
    </xf>
    <xf numFmtId="0" fontId="5" fillId="0" borderId="35" xfId="0" applyFont="1" applyBorder="1">
      <alignment vertical="center"/>
    </xf>
    <xf numFmtId="0" fontId="5" fillId="0" borderId="46" xfId="0" applyFont="1" applyBorder="1">
      <alignment vertical="center"/>
    </xf>
    <xf numFmtId="0" fontId="5" fillId="0" borderId="23" xfId="0" applyFont="1" applyBorder="1">
      <alignment vertical="center"/>
    </xf>
    <xf numFmtId="0" fontId="5" fillId="0" borderId="24" xfId="0" applyFont="1" applyBorder="1">
      <alignment vertical="center"/>
    </xf>
    <xf numFmtId="3" fontId="6" fillId="0" borderId="7" xfId="0" applyNumberFormat="1" applyFont="1" applyBorder="1" applyAlignment="1">
      <alignment horizontal="center"/>
    </xf>
    <xf numFmtId="3" fontId="6" fillId="0" borderId="20" xfId="0" applyNumberFormat="1" applyFont="1" applyBorder="1" applyAlignment="1">
      <alignment horizontal="center"/>
    </xf>
    <xf numFmtId="3" fontId="6" fillId="0" borderId="26" xfId="0" applyNumberFormat="1" applyFont="1" applyBorder="1" applyAlignment="1">
      <alignment horizontal="center"/>
    </xf>
    <xf numFmtId="3" fontId="5" fillId="0" borderId="10" xfId="0" applyNumberFormat="1" applyFont="1" applyBorder="1" applyAlignment="1">
      <alignment horizontal="center"/>
    </xf>
    <xf numFmtId="0" fontId="26" fillId="0" borderId="0" xfId="0" applyFont="1" applyAlignment="1">
      <alignment horizontal="left" vertical="center"/>
    </xf>
    <xf numFmtId="0" fontId="5" fillId="0" borderId="32" xfId="0" applyFont="1" applyBorder="1" applyAlignment="1">
      <alignment horizontal="center"/>
    </xf>
    <xf numFmtId="0" fontId="5" fillId="0" borderId="41" xfId="0" applyFont="1" applyBorder="1" applyAlignment="1">
      <alignment horizontal="center"/>
    </xf>
    <xf numFmtId="0" fontId="5" fillId="0" borderId="52" xfId="0" applyFont="1" applyBorder="1" applyAlignment="1">
      <alignment horizontal="center" vertical="center"/>
    </xf>
    <xf numFmtId="0" fontId="5" fillId="0" borderId="33" xfId="0" applyFont="1" applyBorder="1" applyAlignment="1">
      <alignment horizontal="center" vertical="center"/>
    </xf>
    <xf numFmtId="0" fontId="5" fillId="0" borderId="33" xfId="0" applyFont="1" applyBorder="1" applyAlignment="1">
      <alignment horizontal="center"/>
    </xf>
    <xf numFmtId="0" fontId="5" fillId="0" borderId="32" xfId="0" applyFont="1" applyBorder="1" applyAlignment="1">
      <alignment horizontal="centerContinuous"/>
    </xf>
    <xf numFmtId="0" fontId="6" fillId="0" borderId="33" xfId="0" applyFont="1" applyBorder="1" applyAlignment="1">
      <alignment horizontal="centerContinuous"/>
    </xf>
    <xf numFmtId="0" fontId="5" fillId="0" borderId="0" xfId="0" applyFont="1" applyBorder="1" applyAlignment="1">
      <alignment horizontal="center"/>
    </xf>
    <xf numFmtId="0" fontId="27" fillId="0" borderId="38" xfId="0" applyFont="1" applyBorder="1" applyAlignment="1">
      <alignment horizontal="right"/>
    </xf>
    <xf numFmtId="0" fontId="5" fillId="0" borderId="34" xfId="0" applyFont="1" applyBorder="1" applyAlignment="1">
      <alignment horizontal="center"/>
    </xf>
    <xf numFmtId="0" fontId="5" fillId="0" borderId="38" xfId="0" applyFont="1" applyBorder="1" applyAlignment="1">
      <alignment horizontal="center"/>
    </xf>
    <xf numFmtId="0" fontId="5" fillId="0" borderId="34" xfId="0" applyFont="1" applyBorder="1" applyAlignment="1">
      <alignment horizontal="centerContinuous"/>
    </xf>
    <xf numFmtId="0" fontId="6" fillId="0" borderId="38" xfId="0" applyFont="1" applyBorder="1" applyAlignment="1">
      <alignment horizontal="centerContinuous"/>
    </xf>
    <xf numFmtId="0" fontId="5" fillId="0" borderId="31" xfId="0" applyFont="1" applyBorder="1" applyAlignment="1">
      <alignment horizontal="center"/>
    </xf>
    <xf numFmtId="0" fontId="5" fillId="0" borderId="40" xfId="0" applyFont="1" applyBorder="1" applyAlignment="1">
      <alignment horizontal="center"/>
    </xf>
    <xf numFmtId="0" fontId="5" fillId="0" borderId="19" xfId="0" applyFont="1" applyBorder="1" applyAlignment="1">
      <alignment horizontal="center"/>
    </xf>
    <xf numFmtId="0" fontId="5" fillId="0" borderId="29" xfId="0" applyFont="1" applyBorder="1" applyAlignment="1">
      <alignment horizontal="center"/>
    </xf>
    <xf numFmtId="0" fontId="5" fillId="0" borderId="31" xfId="0" applyFont="1" applyBorder="1" applyAlignment="1">
      <alignment horizontal="centerContinuous"/>
    </xf>
    <xf numFmtId="0" fontId="6" fillId="0" borderId="29" xfId="0" applyFont="1" applyBorder="1" applyAlignment="1">
      <alignment horizontal="centerContinuous"/>
    </xf>
  </cellXfs>
  <cellStyles count="5">
    <cellStyle name="Excel Built-in Normal" xfId="2" xr:uid="{00000000-0005-0000-0000-000000000000}"/>
    <cellStyle name="Normal" xfId="0" builtinId="0"/>
    <cellStyle name="Normal 2" xfId="3" xr:uid="{00000000-0005-0000-0000-000032000000}"/>
    <cellStyle name="Normal 3" xfId="4" xr:uid="{7D2A0F54-884D-4B38-B488-E4A94680146C}"/>
    <cellStyle name="Procent" xfId="1" builtinId="5"/>
  </cellStyles>
  <dxfs count="8">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10"/>
      <c:rotY val="20"/>
      <c:depthPercent val="100"/>
      <c:rAngAx val="1"/>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rgbClr val="C0C0C0"/>
        </a:solidFill>
        <a:ln w="12700">
          <a:solidFill>
            <a:srgbClr val="808080"/>
          </a:solidFill>
          <a:prstDash val="solid"/>
        </a:ln>
      </c:spPr>
    </c:backWall>
    <c:plotArea>
      <c:layout/>
      <c:bar3DChart>
        <c:barDir val="col"/>
        <c:grouping val="clustered"/>
        <c:varyColors val="0"/>
        <c:ser>
          <c:idx val="0"/>
          <c:order val="0"/>
          <c:spPr>
            <a:solidFill>
              <a:srgbClr val="CCFFCC"/>
            </a:solidFill>
            <a:ln w="12700">
              <a:solidFill>
                <a:srgbClr val="000000"/>
              </a:solidFill>
              <a:prstDash val="solid"/>
            </a:ln>
          </c:spPr>
          <c:invertIfNegative val="0"/>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42E7-47EF-A3C7-D7102BB4B78D}"/>
            </c:ext>
          </c:extLst>
        </c:ser>
        <c:ser>
          <c:idx val="1"/>
          <c:order val="1"/>
          <c:spPr>
            <a:solidFill>
              <a:srgbClr val="008000"/>
            </a:solidFill>
            <a:ln w="12700">
              <a:solidFill>
                <a:srgbClr val="000000"/>
              </a:solidFill>
              <a:prstDash val="solid"/>
            </a:ln>
          </c:spPr>
          <c:invertIfNegative val="0"/>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42E7-47EF-A3C7-D7102BB4B78D}"/>
            </c:ext>
          </c:extLst>
        </c:ser>
        <c:dLbls>
          <c:showLegendKey val="0"/>
          <c:showVal val="0"/>
          <c:showCatName val="0"/>
          <c:showSerName val="0"/>
          <c:showPercent val="0"/>
          <c:showBubbleSize val="0"/>
        </c:dLbls>
        <c:gapWidth val="150"/>
        <c:shape val="box"/>
        <c:axId val="362403328"/>
        <c:axId val="362404864"/>
        <c:axId val="0"/>
      </c:bar3DChart>
      <c:catAx>
        <c:axId val="36240332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250" b="0" i="0" u="none" strike="noStrike" baseline="0">
                <a:solidFill>
                  <a:srgbClr val="000000"/>
                </a:solidFill>
                <a:latin typeface="Arial"/>
                <a:ea typeface="Arial"/>
                <a:cs typeface="Arial"/>
              </a:defRPr>
            </a:pPr>
            <a:endParaRPr lang="sv-FI"/>
          </a:p>
        </c:txPr>
        <c:crossAx val="362404864"/>
        <c:crosses val="autoZero"/>
        <c:auto val="1"/>
        <c:lblAlgn val="ctr"/>
        <c:lblOffset val="100"/>
        <c:tickLblSkip val="1"/>
        <c:tickMarkSkip val="1"/>
        <c:noMultiLvlLbl val="0"/>
      </c:catAx>
      <c:valAx>
        <c:axId val="36240486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Arial"/>
                <a:ea typeface="Arial"/>
                <a:cs typeface="Arial"/>
              </a:defRPr>
            </a:pPr>
            <a:endParaRPr lang="sv-FI"/>
          </a:p>
        </c:txPr>
        <c:crossAx val="362403328"/>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210" b="0" i="0" u="none" strike="noStrike" baseline="0">
              <a:solidFill>
                <a:srgbClr val="000000"/>
              </a:solidFill>
              <a:latin typeface="Arial"/>
              <a:ea typeface="Arial"/>
              <a:cs typeface="Arial"/>
            </a:defRPr>
          </a:pPr>
          <a:endParaRPr lang="sv-FI"/>
        </a:p>
      </c:txPr>
    </c:legend>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sv-FI"/>
    </a:p>
  </c:txPr>
  <c:printSettings>
    <c:headerFooter alignWithMargins="0"/>
    <c:pageMargins b="1" l="0.75000000000000078" r="0.75000000000000078"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FF0000"/>
            </a:solidFill>
            <a:ln w="12700">
              <a:solidFill>
                <a:srgbClr val="000000"/>
              </a:solidFill>
              <a:prstDash val="solid"/>
            </a:ln>
          </c:spPr>
          <c:invertIfNegative val="0"/>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B0E4-485D-B070-06D6AD76813A}"/>
            </c:ext>
          </c:extLst>
        </c:ser>
        <c:ser>
          <c:idx val="1"/>
          <c:order val="1"/>
          <c:spPr>
            <a:solidFill>
              <a:srgbClr val="FFFFC0"/>
            </a:solidFill>
            <a:ln w="12700">
              <a:solidFill>
                <a:srgbClr val="000000"/>
              </a:solidFill>
              <a:prstDash val="solid"/>
            </a:ln>
          </c:spPr>
          <c:invertIfNegative val="0"/>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B0E4-485D-B070-06D6AD76813A}"/>
            </c:ext>
          </c:extLst>
        </c:ser>
        <c:dLbls>
          <c:showLegendKey val="0"/>
          <c:showVal val="0"/>
          <c:showCatName val="0"/>
          <c:showSerName val="0"/>
          <c:showPercent val="0"/>
          <c:showBubbleSize val="0"/>
        </c:dLbls>
        <c:gapWidth val="150"/>
        <c:axId val="362451328"/>
        <c:axId val="362452864"/>
      </c:barChart>
      <c:catAx>
        <c:axId val="3624513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sv-FI"/>
          </a:p>
        </c:txPr>
        <c:crossAx val="362452864"/>
        <c:crosses val="autoZero"/>
        <c:auto val="1"/>
        <c:lblAlgn val="ctr"/>
        <c:lblOffset val="100"/>
        <c:tickLblSkip val="1"/>
        <c:tickMarkSkip val="1"/>
        <c:noMultiLvlLbl val="0"/>
      </c:catAx>
      <c:valAx>
        <c:axId val="36245286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sv-FI"/>
          </a:p>
        </c:txPr>
        <c:crossAx val="362451328"/>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85" b="0" i="0" u="none" strike="noStrike" baseline="0">
              <a:solidFill>
                <a:srgbClr val="000000"/>
              </a:solidFill>
              <a:latin typeface="Arial"/>
              <a:ea typeface="Arial"/>
              <a:cs typeface="Arial"/>
            </a:defRPr>
          </a:pPr>
          <a:endParaRPr lang="sv-FI"/>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sv-FI"/>
    </a:p>
  </c:txPr>
  <c:printSettings>
    <c:headerFooter alignWithMargins="0"/>
    <c:pageMargins b="1" l="0.75000000000000078" r="0.75000000000000078"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CC9CCC"/>
            </a:solidFill>
            <a:ln w="12700">
              <a:solidFill>
                <a:srgbClr val="000000"/>
              </a:solidFill>
              <a:prstDash val="solid"/>
            </a:ln>
          </c:spPr>
          <c:invertIfNegative val="0"/>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AD70-49CD-BD71-831278916A5A}"/>
            </c:ext>
          </c:extLst>
        </c:ser>
        <c:ser>
          <c:idx val="1"/>
          <c:order val="1"/>
          <c:spPr>
            <a:solidFill>
              <a:srgbClr val="802060"/>
            </a:solidFill>
            <a:ln w="12700">
              <a:solidFill>
                <a:srgbClr val="000000"/>
              </a:solidFill>
              <a:prstDash val="solid"/>
            </a:ln>
          </c:spPr>
          <c:invertIfNegative val="0"/>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AD70-49CD-BD71-831278916A5A}"/>
            </c:ext>
          </c:extLst>
        </c:ser>
        <c:dLbls>
          <c:showLegendKey val="0"/>
          <c:showVal val="0"/>
          <c:showCatName val="0"/>
          <c:showSerName val="0"/>
          <c:showPercent val="0"/>
          <c:showBubbleSize val="0"/>
        </c:dLbls>
        <c:gapWidth val="150"/>
        <c:axId val="362757120"/>
        <c:axId val="362767104"/>
      </c:barChart>
      <c:catAx>
        <c:axId val="3627571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sv-FI"/>
          </a:p>
        </c:txPr>
        <c:crossAx val="362767104"/>
        <c:crosses val="autoZero"/>
        <c:auto val="1"/>
        <c:lblAlgn val="ctr"/>
        <c:lblOffset val="100"/>
        <c:tickLblSkip val="1"/>
        <c:tickMarkSkip val="1"/>
        <c:noMultiLvlLbl val="0"/>
      </c:catAx>
      <c:valAx>
        <c:axId val="36276710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sv-FI"/>
          </a:p>
        </c:txPr>
        <c:crossAx val="362757120"/>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sv-FI"/>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sv-FI"/>
    </a:p>
  </c:txPr>
  <c:printSettings>
    <c:headerFooter alignWithMargins="0"/>
    <c:pageMargins b="1" l="0.75000000000000078" r="0.75000000000000078"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CC9CCC"/>
            </a:solidFill>
            <a:ln w="12700">
              <a:solidFill>
                <a:srgbClr val="000000"/>
              </a:solidFill>
              <a:prstDash val="solid"/>
            </a:ln>
          </c:spPr>
          <c:invertIfNegative val="0"/>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F5AB-40D8-A530-B5AD9A7E19EC}"/>
            </c:ext>
          </c:extLst>
        </c:ser>
        <c:ser>
          <c:idx val="1"/>
          <c:order val="1"/>
          <c:spPr>
            <a:solidFill>
              <a:srgbClr val="802060"/>
            </a:solidFill>
            <a:ln w="12700">
              <a:solidFill>
                <a:srgbClr val="000000"/>
              </a:solidFill>
              <a:prstDash val="solid"/>
            </a:ln>
          </c:spPr>
          <c:invertIfNegative val="0"/>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F5AB-40D8-A530-B5AD9A7E19EC}"/>
            </c:ext>
          </c:extLst>
        </c:ser>
        <c:dLbls>
          <c:showLegendKey val="0"/>
          <c:showVal val="0"/>
          <c:showCatName val="0"/>
          <c:showSerName val="0"/>
          <c:showPercent val="0"/>
          <c:showBubbleSize val="0"/>
        </c:dLbls>
        <c:gapWidth val="150"/>
        <c:axId val="362612608"/>
        <c:axId val="362614144"/>
      </c:barChart>
      <c:catAx>
        <c:axId val="3626126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sv-FI"/>
          </a:p>
        </c:txPr>
        <c:crossAx val="362614144"/>
        <c:crosses val="autoZero"/>
        <c:auto val="1"/>
        <c:lblAlgn val="ctr"/>
        <c:lblOffset val="100"/>
        <c:tickLblSkip val="1"/>
        <c:tickMarkSkip val="1"/>
        <c:noMultiLvlLbl val="0"/>
      </c:catAx>
      <c:valAx>
        <c:axId val="36261414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sv-FI"/>
          </a:p>
        </c:txPr>
        <c:crossAx val="362612608"/>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45" b="0" i="0" u="none" strike="noStrike" baseline="0">
              <a:solidFill>
                <a:srgbClr val="000000"/>
              </a:solidFill>
              <a:latin typeface="Arial"/>
              <a:ea typeface="Arial"/>
              <a:cs typeface="Arial"/>
            </a:defRPr>
          </a:pPr>
          <a:endParaRPr lang="sv-FI"/>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sv-FI"/>
    </a:p>
  </c:txPr>
  <c:printSettings>
    <c:headerFooter alignWithMargins="0"/>
    <c:pageMargins b="1" l="0.75000000000000078" r="0.75000000000000078" t="1" header="0.5" footer="0.5"/>
    <c:pageSetup/>
  </c:printSettings>
</c:chartSpace>
</file>

<file path=xl/drawings/_rels/drawing1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14</xdr:col>
      <xdr:colOff>657225</xdr:colOff>
      <xdr:row>5</xdr:row>
      <xdr:rowOff>2771</xdr:rowOff>
    </xdr:to>
    <xdr:sp macro="" textlink="">
      <xdr:nvSpPr>
        <xdr:cNvPr id="63" name="Text Box 449">
          <a:extLst>
            <a:ext uri="{FF2B5EF4-FFF2-40B4-BE49-F238E27FC236}">
              <a16:creationId xmlns:a16="http://schemas.microsoft.com/office/drawing/2014/main" id="{00000000-0008-0000-0000-00003F000000}"/>
            </a:ext>
          </a:extLst>
        </xdr:cNvPr>
        <xdr:cNvSpPr txBox="1">
          <a:spLocks noChangeArrowheads="1"/>
        </xdr:cNvSpPr>
      </xdr:nvSpPr>
      <xdr:spPr bwMode="auto">
        <a:xfrm>
          <a:off x="0" y="96751833"/>
          <a:ext cx="7074650" cy="634538"/>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endParaRPr lang="sv-FI" sz="1000" b="0" i="0" u="none" strike="noStrike" baseline="0">
            <a:solidFill>
              <a:srgbClr val="000000"/>
            </a:solidFill>
            <a:latin typeface="Arial"/>
            <a:cs typeface="Arial"/>
          </a:endParaRPr>
        </a:p>
        <a:p>
          <a:pPr algn="l" rtl="0">
            <a:defRPr sz="1000"/>
          </a:pPr>
          <a:r>
            <a:rPr lang="sv-FI" sz="1000" b="0" i="0" u="none" strike="noStrike" baseline="0">
              <a:solidFill>
                <a:srgbClr val="000000"/>
              </a:solidFill>
              <a:latin typeface="Arial"/>
              <a:cs typeface="Arial"/>
            </a:rPr>
            <a:t>                                </a:t>
          </a:r>
          <a:r>
            <a:rPr lang="sv-FI" sz="1000" b="1" i="0" u="none" strike="noStrike" baseline="0">
              <a:solidFill>
                <a:srgbClr val="000000"/>
              </a:solidFill>
              <a:latin typeface="Arial"/>
              <a:cs typeface="Arial"/>
            </a:rPr>
            <a:t>M/S SPOVEN                   </a:t>
          </a:r>
          <a:r>
            <a:rPr lang="sv-FI" sz="1400" b="1" i="0" u="none" strike="noStrike" baseline="0">
              <a:solidFill>
                <a:srgbClr val="000000"/>
              </a:solidFill>
              <a:latin typeface="Arial"/>
              <a:cs typeface="Arial"/>
            </a:rPr>
            <a:t> ASTERHOLMALINJEN    2017</a:t>
          </a:r>
          <a:endParaRPr lang="sv-FI"/>
        </a:p>
      </xdr:txBody>
    </xdr:sp>
    <xdr:clientData/>
  </xdr:twoCellAnchor>
  <xdr:twoCellAnchor>
    <xdr:from>
      <xdr:col>0</xdr:col>
      <xdr:colOff>0</xdr:colOff>
      <xdr:row>24</xdr:row>
      <xdr:rowOff>104775</xdr:rowOff>
    </xdr:from>
    <xdr:to>
      <xdr:col>14</xdr:col>
      <xdr:colOff>657225</xdr:colOff>
      <xdr:row>28</xdr:row>
      <xdr:rowOff>107546</xdr:rowOff>
    </xdr:to>
    <xdr:sp macro="" textlink="">
      <xdr:nvSpPr>
        <xdr:cNvPr id="68" name="Text Box 449">
          <a:extLst>
            <a:ext uri="{FF2B5EF4-FFF2-40B4-BE49-F238E27FC236}">
              <a16:creationId xmlns:a16="http://schemas.microsoft.com/office/drawing/2014/main" id="{92F095A1-EF46-4005-9135-C8A28EDF23C4}"/>
            </a:ext>
          </a:extLst>
        </xdr:cNvPr>
        <xdr:cNvSpPr txBox="1">
          <a:spLocks noChangeArrowheads="1"/>
        </xdr:cNvSpPr>
      </xdr:nvSpPr>
      <xdr:spPr bwMode="auto">
        <a:xfrm>
          <a:off x="0" y="107051475"/>
          <a:ext cx="7639050" cy="650471"/>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endParaRPr lang="sv-FI" sz="1000" b="0" i="0" u="none" strike="noStrike" baseline="0">
            <a:solidFill>
              <a:srgbClr val="000000"/>
            </a:solidFill>
            <a:latin typeface="Arial"/>
            <a:cs typeface="Arial"/>
          </a:endParaRPr>
        </a:p>
        <a:p>
          <a:pPr algn="l" rtl="0">
            <a:defRPr sz="1000"/>
          </a:pPr>
          <a:r>
            <a:rPr lang="sv-FI" sz="1000" b="0" i="0" u="none" strike="noStrike" baseline="0">
              <a:solidFill>
                <a:srgbClr val="000000"/>
              </a:solidFill>
              <a:latin typeface="Arial"/>
              <a:cs typeface="Arial"/>
            </a:rPr>
            <a:t>                                </a:t>
          </a:r>
          <a:r>
            <a:rPr lang="sv-FI" sz="1000" b="1" i="0" u="none" strike="noStrike" baseline="0">
              <a:solidFill>
                <a:srgbClr val="000000"/>
              </a:solidFill>
              <a:latin typeface="Arial"/>
              <a:cs typeface="Arial"/>
            </a:rPr>
            <a:t>M/S Frida II                   </a:t>
          </a:r>
          <a:r>
            <a:rPr lang="sv-FI" sz="1400" b="1" i="0" u="none" strike="noStrike" baseline="0">
              <a:solidFill>
                <a:srgbClr val="000000"/>
              </a:solidFill>
              <a:latin typeface="Arial"/>
              <a:cs typeface="Arial"/>
            </a:rPr>
            <a:t> ASTERHOLMALINJEN    2018</a:t>
          </a:r>
        </a:p>
        <a:p>
          <a:pPr algn="l" rtl="0">
            <a:defRPr sz="1000"/>
          </a:pPr>
          <a:endParaRPr lang="sv-FI"/>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110836</xdr:rowOff>
    </xdr:from>
    <xdr:to>
      <xdr:col>14</xdr:col>
      <xdr:colOff>590550</xdr:colOff>
      <xdr:row>3</xdr:row>
      <xdr:rowOff>110837</xdr:rowOff>
    </xdr:to>
    <xdr:sp macro="" textlink="">
      <xdr:nvSpPr>
        <xdr:cNvPr id="132" name="Text Box 117">
          <a:extLst>
            <a:ext uri="{FF2B5EF4-FFF2-40B4-BE49-F238E27FC236}">
              <a16:creationId xmlns:a16="http://schemas.microsoft.com/office/drawing/2014/main" id="{00000000-0008-0000-0A00-000084000000}"/>
            </a:ext>
          </a:extLst>
        </xdr:cNvPr>
        <xdr:cNvSpPr txBox="1">
          <a:spLocks noChangeArrowheads="1"/>
        </xdr:cNvSpPr>
      </xdr:nvSpPr>
      <xdr:spPr bwMode="auto">
        <a:xfrm>
          <a:off x="0" y="230825964"/>
          <a:ext cx="8820150" cy="44334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endParaRPr lang="sv-FI" sz="1000" b="0" i="0" u="none" strike="noStrike" baseline="0">
            <a:solidFill>
              <a:srgbClr val="000000"/>
            </a:solidFill>
            <a:latin typeface="Arial"/>
            <a:cs typeface="Arial"/>
          </a:endParaRPr>
        </a:p>
        <a:p>
          <a:pPr algn="l" rtl="0">
            <a:defRPr sz="1000"/>
          </a:pPr>
          <a:r>
            <a:rPr lang="sv-FI" sz="1000" b="0" i="0" u="none" strike="noStrike" baseline="0">
              <a:solidFill>
                <a:srgbClr val="000000"/>
              </a:solidFill>
              <a:latin typeface="Arial"/>
              <a:cs typeface="Arial"/>
            </a:rPr>
            <a:t>                                                         </a:t>
          </a:r>
          <a:r>
            <a:rPr lang="sv-FI" sz="1000" b="1" i="0" u="none" strike="noStrike" baseline="0">
              <a:solidFill>
                <a:srgbClr val="000000"/>
              </a:solidFill>
              <a:latin typeface="Arial"/>
              <a:cs typeface="Arial"/>
            </a:rPr>
            <a:t>M/S SKIFTET                                </a:t>
          </a:r>
          <a:r>
            <a:rPr lang="sv-FI" sz="1400" b="1" i="0" u="none" strike="noStrike" baseline="0">
              <a:solidFill>
                <a:srgbClr val="000000"/>
              </a:solidFill>
              <a:latin typeface="Arial"/>
              <a:cs typeface="Arial"/>
            </a:rPr>
            <a:t>   SÖDRA LINJEN   2017</a:t>
          </a:r>
        </a:p>
        <a:p>
          <a:pPr algn="l" rtl="0">
            <a:defRPr sz="1000"/>
          </a:pPr>
          <a:endParaRPr lang="sv-FI"/>
        </a:p>
      </xdr:txBody>
    </xdr:sp>
    <xdr:clientData/>
  </xdr:twoCellAnchor>
  <xdr:twoCellAnchor>
    <xdr:from>
      <xdr:col>0</xdr:col>
      <xdr:colOff>0</xdr:colOff>
      <xdr:row>20</xdr:row>
      <xdr:rowOff>110838</xdr:rowOff>
    </xdr:from>
    <xdr:to>
      <xdr:col>14</xdr:col>
      <xdr:colOff>590550</xdr:colOff>
      <xdr:row>24</xdr:row>
      <xdr:rowOff>110838</xdr:rowOff>
    </xdr:to>
    <xdr:sp macro="" textlink="">
      <xdr:nvSpPr>
        <xdr:cNvPr id="134" name="Text Box 119">
          <a:extLst>
            <a:ext uri="{FF2B5EF4-FFF2-40B4-BE49-F238E27FC236}">
              <a16:creationId xmlns:a16="http://schemas.microsoft.com/office/drawing/2014/main" id="{00000000-0008-0000-0A00-000086000000}"/>
            </a:ext>
          </a:extLst>
        </xdr:cNvPr>
        <xdr:cNvSpPr txBox="1">
          <a:spLocks noChangeArrowheads="1"/>
        </xdr:cNvSpPr>
      </xdr:nvSpPr>
      <xdr:spPr bwMode="auto">
        <a:xfrm>
          <a:off x="0" y="233781601"/>
          <a:ext cx="8820150" cy="591128"/>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endParaRPr lang="sv-FI" sz="1000" b="0" i="0" u="none" strike="noStrike" baseline="0">
            <a:solidFill>
              <a:srgbClr val="000000"/>
            </a:solidFill>
            <a:latin typeface="Arial"/>
            <a:cs typeface="Arial"/>
          </a:endParaRPr>
        </a:p>
        <a:p>
          <a:pPr algn="l" rtl="0">
            <a:defRPr sz="1000"/>
          </a:pPr>
          <a:r>
            <a:rPr lang="sv-FI" sz="1000" b="0" i="0" u="none" strike="noStrike" baseline="0">
              <a:solidFill>
                <a:srgbClr val="000000"/>
              </a:solidFill>
              <a:latin typeface="Arial"/>
              <a:cs typeface="Arial"/>
            </a:rPr>
            <a:t>                                                         </a:t>
          </a:r>
          <a:r>
            <a:rPr lang="sv-FI" sz="1000" b="1" i="0" u="none" strike="noStrike" baseline="0">
              <a:solidFill>
                <a:srgbClr val="000000"/>
              </a:solidFill>
              <a:latin typeface="Arial"/>
              <a:cs typeface="Arial"/>
            </a:rPr>
            <a:t>M/S GUDINGEN                                </a:t>
          </a:r>
          <a:r>
            <a:rPr lang="sv-FI" sz="1400" b="1" i="0" u="none" strike="noStrike" baseline="0">
              <a:solidFill>
                <a:srgbClr val="000000"/>
              </a:solidFill>
              <a:latin typeface="Arial"/>
              <a:cs typeface="Arial"/>
            </a:rPr>
            <a:t> SÖDRA LINJEN   2017</a:t>
          </a:r>
        </a:p>
        <a:p>
          <a:pPr algn="l" rtl="0">
            <a:defRPr sz="1000"/>
          </a:pPr>
          <a:endParaRPr lang="sv-FI"/>
        </a:p>
      </xdr:txBody>
    </xdr:sp>
    <xdr:clientData/>
  </xdr:twoCellAnchor>
  <xdr:twoCellAnchor>
    <xdr:from>
      <xdr:col>0</xdr:col>
      <xdr:colOff>0</xdr:colOff>
      <xdr:row>42</xdr:row>
      <xdr:rowOff>92365</xdr:rowOff>
    </xdr:from>
    <xdr:to>
      <xdr:col>14</xdr:col>
      <xdr:colOff>590838</xdr:colOff>
      <xdr:row>45</xdr:row>
      <xdr:rowOff>106797</xdr:rowOff>
    </xdr:to>
    <xdr:sp macro="" textlink="">
      <xdr:nvSpPr>
        <xdr:cNvPr id="135" name="Text Box 122">
          <a:extLst>
            <a:ext uri="{FF2B5EF4-FFF2-40B4-BE49-F238E27FC236}">
              <a16:creationId xmlns:a16="http://schemas.microsoft.com/office/drawing/2014/main" id="{00000000-0008-0000-0A00-000087000000}"/>
            </a:ext>
          </a:extLst>
        </xdr:cNvPr>
        <xdr:cNvSpPr txBox="1">
          <a:spLocks noChangeArrowheads="1"/>
        </xdr:cNvSpPr>
      </xdr:nvSpPr>
      <xdr:spPr bwMode="auto">
        <a:xfrm>
          <a:off x="0" y="237014328"/>
          <a:ext cx="8820438" cy="457778"/>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endParaRPr lang="sv-FI" sz="1000" b="0" i="0" u="none" strike="noStrike" baseline="0">
            <a:solidFill>
              <a:srgbClr val="000000"/>
            </a:solidFill>
            <a:latin typeface="Arial"/>
            <a:cs typeface="Arial"/>
          </a:endParaRPr>
        </a:p>
        <a:p>
          <a:pPr algn="l" rtl="0">
            <a:defRPr sz="1000"/>
          </a:pPr>
          <a:r>
            <a:rPr lang="sv-FI" sz="1000" b="0" i="0" u="none" strike="noStrike" baseline="0">
              <a:solidFill>
                <a:srgbClr val="000000"/>
              </a:solidFill>
              <a:latin typeface="Arial"/>
              <a:cs typeface="Arial"/>
            </a:rPr>
            <a:t>                                                        </a:t>
          </a:r>
          <a:r>
            <a:rPr lang="sv-FI" sz="1000" b="1" i="0" u="none" strike="noStrike" baseline="0">
              <a:solidFill>
                <a:srgbClr val="000000"/>
              </a:solidFill>
              <a:latin typeface="Arial"/>
              <a:cs typeface="Arial"/>
            </a:rPr>
            <a:t>  M/S EJDERN                                   </a:t>
          </a:r>
          <a:r>
            <a:rPr lang="sv-FI" sz="1400" b="1" i="0" u="none" strike="noStrike" baseline="0">
              <a:solidFill>
                <a:srgbClr val="000000"/>
              </a:solidFill>
              <a:latin typeface="Arial"/>
              <a:cs typeface="Arial"/>
            </a:rPr>
            <a:t>SÖDRA LINJEN   2017</a:t>
          </a:r>
        </a:p>
        <a:p>
          <a:pPr algn="l" rtl="0">
            <a:defRPr sz="1000"/>
          </a:pPr>
          <a:endParaRPr lang="sv-FI"/>
        </a:p>
      </xdr:txBody>
    </xdr:sp>
    <xdr:clientData/>
  </xdr:twoCellAnchor>
  <xdr:twoCellAnchor>
    <xdr:from>
      <xdr:col>0</xdr:col>
      <xdr:colOff>0</xdr:colOff>
      <xdr:row>67</xdr:row>
      <xdr:rowOff>110836</xdr:rowOff>
    </xdr:from>
    <xdr:to>
      <xdr:col>14</xdr:col>
      <xdr:colOff>590550</xdr:colOff>
      <xdr:row>70</xdr:row>
      <xdr:rowOff>110837</xdr:rowOff>
    </xdr:to>
    <xdr:sp macro="" textlink="">
      <xdr:nvSpPr>
        <xdr:cNvPr id="131" name="Text Box 117">
          <a:extLst>
            <a:ext uri="{FF2B5EF4-FFF2-40B4-BE49-F238E27FC236}">
              <a16:creationId xmlns:a16="http://schemas.microsoft.com/office/drawing/2014/main" id="{8841F3CE-1A1B-49A4-B94C-7F1B2FE35A5D}"/>
            </a:ext>
          </a:extLst>
        </xdr:cNvPr>
        <xdr:cNvSpPr txBox="1">
          <a:spLocks noChangeArrowheads="1"/>
        </xdr:cNvSpPr>
      </xdr:nvSpPr>
      <xdr:spPr bwMode="auto">
        <a:xfrm>
          <a:off x="0" y="262496571"/>
          <a:ext cx="8826874" cy="504266"/>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endParaRPr lang="sv-FI" sz="1000" b="0" i="0" u="none" strike="noStrike" baseline="0">
            <a:solidFill>
              <a:srgbClr val="000000"/>
            </a:solidFill>
            <a:latin typeface="Arial"/>
            <a:cs typeface="Arial"/>
          </a:endParaRPr>
        </a:p>
        <a:p>
          <a:pPr algn="l" rtl="0">
            <a:defRPr sz="1000"/>
          </a:pPr>
          <a:r>
            <a:rPr lang="sv-FI" sz="1000" b="0" i="0" u="none" strike="noStrike" baseline="0">
              <a:solidFill>
                <a:srgbClr val="000000"/>
              </a:solidFill>
              <a:latin typeface="Arial"/>
              <a:cs typeface="Arial"/>
            </a:rPr>
            <a:t>                                                         </a:t>
          </a:r>
          <a:r>
            <a:rPr lang="sv-FI" sz="1000" b="1" i="0" u="none" strike="noStrike" baseline="0">
              <a:solidFill>
                <a:srgbClr val="000000"/>
              </a:solidFill>
              <a:latin typeface="Arial"/>
              <a:cs typeface="Arial"/>
            </a:rPr>
            <a:t>M/S SKIFTET                                </a:t>
          </a:r>
          <a:r>
            <a:rPr lang="sv-FI" sz="1400" b="1" i="0" u="none" strike="noStrike" baseline="0">
              <a:solidFill>
                <a:srgbClr val="000000"/>
              </a:solidFill>
              <a:latin typeface="Arial"/>
              <a:cs typeface="Arial"/>
            </a:rPr>
            <a:t>   SÖDRA LINJEN   2018</a:t>
          </a:r>
        </a:p>
        <a:p>
          <a:pPr algn="l" rtl="0">
            <a:defRPr sz="1000"/>
          </a:pPr>
          <a:endParaRPr lang="sv-FI"/>
        </a:p>
      </xdr:txBody>
    </xdr:sp>
    <xdr:clientData/>
  </xdr:twoCellAnchor>
  <xdr:twoCellAnchor>
    <xdr:from>
      <xdr:col>0</xdr:col>
      <xdr:colOff>0</xdr:colOff>
      <xdr:row>87</xdr:row>
      <xdr:rowOff>110838</xdr:rowOff>
    </xdr:from>
    <xdr:to>
      <xdr:col>14</xdr:col>
      <xdr:colOff>590550</xdr:colOff>
      <xdr:row>91</xdr:row>
      <xdr:rowOff>110838</xdr:rowOff>
    </xdr:to>
    <xdr:sp macro="" textlink="">
      <xdr:nvSpPr>
        <xdr:cNvPr id="133" name="Text Box 119">
          <a:extLst>
            <a:ext uri="{FF2B5EF4-FFF2-40B4-BE49-F238E27FC236}">
              <a16:creationId xmlns:a16="http://schemas.microsoft.com/office/drawing/2014/main" id="{E58BC485-769E-415D-B821-487B521CD985}"/>
            </a:ext>
          </a:extLst>
        </xdr:cNvPr>
        <xdr:cNvSpPr txBox="1">
          <a:spLocks noChangeArrowheads="1"/>
        </xdr:cNvSpPr>
      </xdr:nvSpPr>
      <xdr:spPr bwMode="auto">
        <a:xfrm>
          <a:off x="0" y="265858338"/>
          <a:ext cx="8826874" cy="672353"/>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endParaRPr lang="sv-FI" sz="1000" b="0" i="0" u="none" strike="noStrike" baseline="0">
            <a:solidFill>
              <a:srgbClr val="000000"/>
            </a:solidFill>
            <a:latin typeface="Arial"/>
            <a:cs typeface="Arial"/>
          </a:endParaRPr>
        </a:p>
        <a:p>
          <a:pPr algn="l" rtl="0">
            <a:defRPr sz="1000"/>
          </a:pPr>
          <a:r>
            <a:rPr lang="sv-FI" sz="1000" b="0" i="0" u="none" strike="noStrike" baseline="0">
              <a:solidFill>
                <a:srgbClr val="000000"/>
              </a:solidFill>
              <a:latin typeface="Arial"/>
              <a:cs typeface="Arial"/>
            </a:rPr>
            <a:t>                                                         </a:t>
          </a:r>
          <a:r>
            <a:rPr lang="sv-FI" sz="1000" b="1" i="0" u="none" strike="noStrike" baseline="0">
              <a:solidFill>
                <a:srgbClr val="000000"/>
              </a:solidFill>
              <a:latin typeface="Arial"/>
              <a:cs typeface="Arial"/>
            </a:rPr>
            <a:t>M/S GUDINGEN                                </a:t>
          </a:r>
          <a:r>
            <a:rPr lang="sv-FI" sz="1400" b="1" i="0" u="none" strike="noStrike" baseline="0">
              <a:solidFill>
                <a:srgbClr val="000000"/>
              </a:solidFill>
              <a:latin typeface="Arial"/>
              <a:cs typeface="Arial"/>
            </a:rPr>
            <a:t> SÖDRA LINJEN   2018</a:t>
          </a:r>
        </a:p>
        <a:p>
          <a:pPr algn="l" rtl="0">
            <a:defRPr sz="1000"/>
          </a:pPr>
          <a:endParaRPr lang="sv-FI"/>
        </a:p>
      </xdr:txBody>
    </xdr:sp>
    <xdr:clientData/>
  </xdr:twoCellAnchor>
  <xdr:twoCellAnchor>
    <xdr:from>
      <xdr:col>0</xdr:col>
      <xdr:colOff>0</xdr:colOff>
      <xdr:row>109</xdr:row>
      <xdr:rowOff>92365</xdr:rowOff>
    </xdr:from>
    <xdr:to>
      <xdr:col>14</xdr:col>
      <xdr:colOff>590838</xdr:colOff>
      <xdr:row>112</xdr:row>
      <xdr:rowOff>106797</xdr:rowOff>
    </xdr:to>
    <xdr:sp macro="" textlink="">
      <xdr:nvSpPr>
        <xdr:cNvPr id="136" name="Text Box 122">
          <a:extLst>
            <a:ext uri="{FF2B5EF4-FFF2-40B4-BE49-F238E27FC236}">
              <a16:creationId xmlns:a16="http://schemas.microsoft.com/office/drawing/2014/main" id="{6D57B661-3F1C-4B92-A520-4343F4144872}"/>
            </a:ext>
          </a:extLst>
        </xdr:cNvPr>
        <xdr:cNvSpPr txBox="1">
          <a:spLocks noChangeArrowheads="1"/>
        </xdr:cNvSpPr>
      </xdr:nvSpPr>
      <xdr:spPr bwMode="auto">
        <a:xfrm>
          <a:off x="0" y="269537806"/>
          <a:ext cx="8827162" cy="518697"/>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endParaRPr lang="sv-FI" sz="1000" b="0" i="0" u="none" strike="noStrike" baseline="0">
            <a:solidFill>
              <a:srgbClr val="000000"/>
            </a:solidFill>
            <a:latin typeface="Arial"/>
            <a:cs typeface="Arial"/>
          </a:endParaRPr>
        </a:p>
        <a:p>
          <a:pPr algn="l" rtl="0">
            <a:defRPr sz="1000"/>
          </a:pPr>
          <a:r>
            <a:rPr lang="sv-FI" sz="1000" b="0" i="0" u="none" strike="noStrike" baseline="0">
              <a:solidFill>
                <a:srgbClr val="000000"/>
              </a:solidFill>
              <a:latin typeface="Arial"/>
              <a:cs typeface="Arial"/>
            </a:rPr>
            <a:t>                                                        </a:t>
          </a:r>
          <a:r>
            <a:rPr lang="sv-FI" sz="1000" b="1" i="0" u="none" strike="noStrike" baseline="0">
              <a:solidFill>
                <a:srgbClr val="000000"/>
              </a:solidFill>
              <a:latin typeface="Arial"/>
              <a:cs typeface="Arial"/>
            </a:rPr>
            <a:t>  M/S Knipan  	         </a:t>
          </a:r>
          <a:r>
            <a:rPr lang="sv-FI" sz="1400" b="1" i="0" u="none" strike="noStrike" baseline="0">
              <a:solidFill>
                <a:srgbClr val="000000"/>
              </a:solidFill>
              <a:latin typeface="Arial"/>
              <a:cs typeface="Arial"/>
            </a:rPr>
            <a:t>SÖDRA LINJEN   2018</a:t>
          </a:r>
        </a:p>
        <a:p>
          <a:pPr algn="l" rtl="0">
            <a:defRPr sz="1000"/>
          </a:pPr>
          <a:endParaRPr lang="sv-FI"/>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16</xdr:col>
      <xdr:colOff>361950</xdr:colOff>
      <xdr:row>0</xdr:row>
      <xdr:rowOff>0</xdr:rowOff>
    </xdr:from>
    <xdr:to>
      <xdr:col>16</xdr:col>
      <xdr:colOff>444500</xdr:colOff>
      <xdr:row>1</xdr:row>
      <xdr:rowOff>57150</xdr:rowOff>
    </xdr:to>
    <xdr:sp macro="" textlink="">
      <xdr:nvSpPr>
        <xdr:cNvPr id="42155148" name="Text Box 91">
          <a:extLst>
            <a:ext uri="{FF2B5EF4-FFF2-40B4-BE49-F238E27FC236}">
              <a16:creationId xmlns:a16="http://schemas.microsoft.com/office/drawing/2014/main" id="{00000000-0008-0000-0B00-00008C3C8302}"/>
            </a:ext>
          </a:extLst>
        </xdr:cNvPr>
        <xdr:cNvSpPr txBox="1">
          <a:spLocks noChangeArrowheads="1"/>
        </xdr:cNvSpPr>
      </xdr:nvSpPr>
      <xdr:spPr bwMode="auto">
        <a:xfrm>
          <a:off x="9858375" y="110909100"/>
          <a:ext cx="8572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361950</xdr:colOff>
      <xdr:row>0</xdr:row>
      <xdr:rowOff>0</xdr:rowOff>
    </xdr:from>
    <xdr:to>
      <xdr:col>16</xdr:col>
      <xdr:colOff>444500</xdr:colOff>
      <xdr:row>1</xdr:row>
      <xdr:rowOff>46355</xdr:rowOff>
    </xdr:to>
    <xdr:sp macro="" textlink="">
      <xdr:nvSpPr>
        <xdr:cNvPr id="82" name="Text Box 91">
          <a:extLst>
            <a:ext uri="{FF2B5EF4-FFF2-40B4-BE49-F238E27FC236}">
              <a16:creationId xmlns:a16="http://schemas.microsoft.com/office/drawing/2014/main" id="{00000000-0008-0000-0B00-000052000000}"/>
            </a:ext>
          </a:extLst>
        </xdr:cNvPr>
        <xdr:cNvSpPr txBox="1">
          <a:spLocks noChangeArrowheads="1"/>
        </xdr:cNvSpPr>
      </xdr:nvSpPr>
      <xdr:spPr bwMode="auto">
        <a:xfrm>
          <a:off x="9897533" y="108733167"/>
          <a:ext cx="85725" cy="215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361950</xdr:colOff>
      <xdr:row>0</xdr:row>
      <xdr:rowOff>0</xdr:rowOff>
    </xdr:from>
    <xdr:to>
      <xdr:col>16</xdr:col>
      <xdr:colOff>444500</xdr:colOff>
      <xdr:row>1</xdr:row>
      <xdr:rowOff>46355</xdr:rowOff>
    </xdr:to>
    <xdr:sp macro="" textlink="">
      <xdr:nvSpPr>
        <xdr:cNvPr id="87" name="Text Box 91">
          <a:extLst>
            <a:ext uri="{FF2B5EF4-FFF2-40B4-BE49-F238E27FC236}">
              <a16:creationId xmlns:a16="http://schemas.microsoft.com/office/drawing/2014/main" id="{00000000-0008-0000-0B00-000057000000}"/>
            </a:ext>
          </a:extLst>
        </xdr:cNvPr>
        <xdr:cNvSpPr txBox="1">
          <a:spLocks noChangeArrowheads="1"/>
        </xdr:cNvSpPr>
      </xdr:nvSpPr>
      <xdr:spPr bwMode="auto">
        <a:xfrm>
          <a:off x="9897533" y="114765667"/>
          <a:ext cx="85725" cy="215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6</xdr:row>
      <xdr:rowOff>74814</xdr:rowOff>
    </xdr:from>
    <xdr:to>
      <xdr:col>14</xdr:col>
      <xdr:colOff>685800</xdr:colOff>
      <xdr:row>10</xdr:row>
      <xdr:rowOff>90717</xdr:rowOff>
    </xdr:to>
    <xdr:sp macro="" textlink="">
      <xdr:nvSpPr>
        <xdr:cNvPr id="93" name="Text Box 88">
          <a:extLst>
            <a:ext uri="{FF2B5EF4-FFF2-40B4-BE49-F238E27FC236}">
              <a16:creationId xmlns:a16="http://schemas.microsoft.com/office/drawing/2014/main" id="{00000000-0008-0000-0B00-00005D000000}"/>
            </a:ext>
          </a:extLst>
        </xdr:cNvPr>
        <xdr:cNvSpPr txBox="1">
          <a:spLocks noChangeArrowheads="1"/>
        </xdr:cNvSpPr>
      </xdr:nvSpPr>
      <xdr:spPr bwMode="auto">
        <a:xfrm>
          <a:off x="0" y="134466676"/>
          <a:ext cx="8799022" cy="64767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endParaRPr lang="sv-FI" sz="1000" b="0" i="0" u="none" strike="noStrike" baseline="0">
            <a:solidFill>
              <a:srgbClr val="000000"/>
            </a:solidFill>
            <a:latin typeface="Arial"/>
            <a:cs typeface="Arial"/>
          </a:endParaRPr>
        </a:p>
        <a:p>
          <a:pPr algn="l" rtl="0">
            <a:defRPr sz="1000"/>
          </a:pPr>
          <a:r>
            <a:rPr lang="sv-FI" sz="1000" b="0" i="0" u="none" strike="noStrike" baseline="0">
              <a:solidFill>
                <a:srgbClr val="000000"/>
              </a:solidFill>
              <a:latin typeface="Arial"/>
              <a:cs typeface="Arial"/>
            </a:rPr>
            <a:t>                                                                                              </a:t>
          </a:r>
          <a:r>
            <a:rPr lang="sv-FI" sz="1400" b="1" i="0" u="none" strike="noStrike" baseline="0">
              <a:solidFill>
                <a:srgbClr val="000000"/>
              </a:solidFill>
              <a:latin typeface="Arial"/>
              <a:cs typeface="Arial"/>
            </a:rPr>
            <a:t>SÖDRA LINJEN   2017</a:t>
          </a:r>
        </a:p>
        <a:p>
          <a:pPr algn="l" rtl="0">
            <a:defRPr sz="1000"/>
          </a:pPr>
          <a:endParaRPr lang="sv-FI"/>
        </a:p>
      </xdr:txBody>
    </xdr:sp>
    <xdr:clientData/>
  </xdr:twoCellAnchor>
  <xdr:twoCellAnchor>
    <xdr:from>
      <xdr:col>0</xdr:col>
      <xdr:colOff>0</xdr:colOff>
      <xdr:row>32</xdr:row>
      <xdr:rowOff>74814</xdr:rowOff>
    </xdr:from>
    <xdr:to>
      <xdr:col>14</xdr:col>
      <xdr:colOff>685800</xdr:colOff>
      <xdr:row>36</xdr:row>
      <xdr:rowOff>90717</xdr:rowOff>
    </xdr:to>
    <xdr:sp macro="" textlink="">
      <xdr:nvSpPr>
        <xdr:cNvPr id="97" name="Text Box 88">
          <a:extLst>
            <a:ext uri="{FF2B5EF4-FFF2-40B4-BE49-F238E27FC236}">
              <a16:creationId xmlns:a16="http://schemas.microsoft.com/office/drawing/2014/main" id="{DF9260B9-B9AE-4493-A4E9-21D7084DBF98}"/>
            </a:ext>
          </a:extLst>
        </xdr:cNvPr>
        <xdr:cNvSpPr txBox="1">
          <a:spLocks noChangeArrowheads="1"/>
        </xdr:cNvSpPr>
      </xdr:nvSpPr>
      <xdr:spPr bwMode="auto">
        <a:xfrm>
          <a:off x="0" y="138349239"/>
          <a:ext cx="8286750" cy="663603"/>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endParaRPr lang="sv-FI" sz="1000" b="0" i="0" u="none" strike="noStrike" baseline="0">
            <a:solidFill>
              <a:srgbClr val="000000"/>
            </a:solidFill>
            <a:latin typeface="Arial"/>
            <a:cs typeface="Arial"/>
          </a:endParaRPr>
        </a:p>
        <a:p>
          <a:pPr algn="l" rtl="0">
            <a:defRPr sz="1000"/>
          </a:pPr>
          <a:r>
            <a:rPr lang="sv-FI" sz="1000" b="0" i="0" u="none" strike="noStrike" baseline="0">
              <a:solidFill>
                <a:srgbClr val="000000"/>
              </a:solidFill>
              <a:latin typeface="Arial"/>
              <a:cs typeface="Arial"/>
            </a:rPr>
            <a:t>                                                                                              </a:t>
          </a:r>
          <a:r>
            <a:rPr lang="sv-FI" sz="1400" b="1" i="0" u="none" strike="noStrike" baseline="0">
              <a:solidFill>
                <a:srgbClr val="000000"/>
              </a:solidFill>
              <a:latin typeface="Arial"/>
              <a:cs typeface="Arial"/>
            </a:rPr>
            <a:t>SÖDRA LINJEN   2018</a:t>
          </a:r>
        </a:p>
        <a:p>
          <a:pPr algn="l" rtl="0">
            <a:defRPr sz="1000"/>
          </a:pPr>
          <a:endParaRPr lang="sv-FI"/>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4</xdr:row>
      <xdr:rowOff>101600</xdr:rowOff>
    </xdr:from>
    <xdr:to>
      <xdr:col>14</xdr:col>
      <xdr:colOff>571500</xdr:colOff>
      <xdr:row>8</xdr:row>
      <xdr:rowOff>120074</xdr:rowOff>
    </xdr:to>
    <xdr:sp macro="" textlink="">
      <xdr:nvSpPr>
        <xdr:cNvPr id="92" name="Text Box 84">
          <a:extLst>
            <a:ext uri="{FF2B5EF4-FFF2-40B4-BE49-F238E27FC236}">
              <a16:creationId xmlns:a16="http://schemas.microsoft.com/office/drawing/2014/main" id="{00000000-0008-0000-0C00-00005C000000}"/>
            </a:ext>
          </a:extLst>
        </xdr:cNvPr>
        <xdr:cNvSpPr txBox="1">
          <a:spLocks noChangeArrowheads="1"/>
        </xdr:cNvSpPr>
      </xdr:nvSpPr>
      <xdr:spPr bwMode="auto">
        <a:xfrm>
          <a:off x="0" y="133280728"/>
          <a:ext cx="8209972" cy="646546"/>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endParaRPr lang="sv-FI" sz="1000" b="0" i="0" u="none" strike="noStrike" baseline="0">
            <a:solidFill>
              <a:srgbClr val="000000"/>
            </a:solidFill>
            <a:latin typeface="Arial"/>
            <a:cs typeface="Arial"/>
          </a:endParaRPr>
        </a:p>
        <a:p>
          <a:pPr algn="l" rtl="0">
            <a:defRPr sz="1000"/>
          </a:pPr>
          <a:r>
            <a:rPr lang="sv-FI" sz="1000" b="0" i="0" u="none" strike="noStrike" baseline="0">
              <a:solidFill>
                <a:srgbClr val="000000"/>
              </a:solidFill>
              <a:latin typeface="Arial"/>
              <a:cs typeface="Arial"/>
            </a:rPr>
            <a:t>                                               </a:t>
          </a:r>
          <a:r>
            <a:rPr lang="sv-FI" sz="1000" b="1" i="0" u="none" strike="noStrike" baseline="0">
              <a:solidFill>
                <a:srgbClr val="000000"/>
              </a:solidFill>
              <a:latin typeface="Arial"/>
              <a:cs typeface="Arial"/>
            </a:rPr>
            <a:t> M/S ODIN </a:t>
          </a:r>
        </a:p>
        <a:p>
          <a:pPr algn="l" rtl="0">
            <a:defRPr sz="1000"/>
          </a:pPr>
          <a:r>
            <a:rPr lang="sv-FI" sz="1000" b="1" i="0" u="none" strike="noStrike" baseline="0">
              <a:solidFill>
                <a:srgbClr val="000000"/>
              </a:solidFill>
              <a:latin typeface="Arial"/>
              <a:cs typeface="Arial"/>
            </a:rPr>
            <a:t>                </a:t>
          </a:r>
          <a:r>
            <a:rPr lang="sv-FI" sz="1400" b="1" i="0" u="none" strike="noStrike" baseline="0">
              <a:solidFill>
                <a:srgbClr val="000000"/>
              </a:solidFill>
              <a:latin typeface="Arial"/>
              <a:cs typeface="Arial"/>
            </a:rPr>
            <a:t> TVÄRGÅENDE LINJEN   2017</a:t>
          </a:r>
        </a:p>
        <a:p>
          <a:pPr algn="l" rtl="0">
            <a:defRPr sz="1000"/>
          </a:pPr>
          <a:endParaRPr lang="sv-FI"/>
        </a:p>
      </xdr:txBody>
    </xdr:sp>
    <xdr:clientData/>
  </xdr:twoCellAnchor>
  <xdr:twoCellAnchor>
    <xdr:from>
      <xdr:col>0</xdr:col>
      <xdr:colOff>0</xdr:colOff>
      <xdr:row>36</xdr:row>
      <xdr:rowOff>101600</xdr:rowOff>
    </xdr:from>
    <xdr:to>
      <xdr:col>14</xdr:col>
      <xdr:colOff>571500</xdr:colOff>
      <xdr:row>40</xdr:row>
      <xdr:rowOff>120074</xdr:rowOff>
    </xdr:to>
    <xdr:sp macro="" textlink="">
      <xdr:nvSpPr>
        <xdr:cNvPr id="95" name="Text Box 84">
          <a:extLst>
            <a:ext uri="{FF2B5EF4-FFF2-40B4-BE49-F238E27FC236}">
              <a16:creationId xmlns:a16="http://schemas.microsoft.com/office/drawing/2014/main" id="{5ADB7DB3-4CA4-460C-BE43-8A588B1BCF7C}"/>
            </a:ext>
          </a:extLst>
        </xdr:cNvPr>
        <xdr:cNvSpPr txBox="1">
          <a:spLocks noChangeArrowheads="1"/>
        </xdr:cNvSpPr>
      </xdr:nvSpPr>
      <xdr:spPr bwMode="auto">
        <a:xfrm>
          <a:off x="0" y="137252075"/>
          <a:ext cx="8105775" cy="666174"/>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endParaRPr lang="sv-FI" sz="1000" b="0" i="0" u="none" strike="noStrike" baseline="0">
            <a:solidFill>
              <a:srgbClr val="000000"/>
            </a:solidFill>
            <a:latin typeface="Arial"/>
            <a:cs typeface="Arial"/>
          </a:endParaRPr>
        </a:p>
        <a:p>
          <a:pPr algn="l" rtl="0">
            <a:defRPr sz="1000"/>
          </a:pPr>
          <a:r>
            <a:rPr lang="sv-FI" sz="1000" b="0" i="0" u="none" strike="noStrike" baseline="0">
              <a:solidFill>
                <a:srgbClr val="000000"/>
              </a:solidFill>
              <a:latin typeface="Arial"/>
              <a:cs typeface="Arial"/>
            </a:rPr>
            <a:t>                                               </a:t>
          </a:r>
          <a:r>
            <a:rPr lang="sv-FI" sz="1000" b="1" i="0" u="none" strike="noStrike" baseline="0">
              <a:solidFill>
                <a:srgbClr val="000000"/>
              </a:solidFill>
              <a:latin typeface="Arial"/>
              <a:cs typeface="Arial"/>
            </a:rPr>
            <a:t> M/S ODIN </a:t>
          </a:r>
        </a:p>
        <a:p>
          <a:pPr algn="l" rtl="0">
            <a:defRPr sz="1000"/>
          </a:pPr>
          <a:r>
            <a:rPr lang="sv-FI" sz="1000" b="1" i="0" u="none" strike="noStrike" baseline="0">
              <a:solidFill>
                <a:srgbClr val="000000"/>
              </a:solidFill>
              <a:latin typeface="Arial"/>
              <a:cs typeface="Arial"/>
            </a:rPr>
            <a:t>                </a:t>
          </a:r>
          <a:r>
            <a:rPr lang="sv-FI" sz="1400" b="1" i="0" u="none" strike="noStrike" baseline="0">
              <a:solidFill>
                <a:srgbClr val="000000"/>
              </a:solidFill>
              <a:latin typeface="Arial"/>
              <a:cs typeface="Arial"/>
            </a:rPr>
            <a:t> TVÄRGÅENDE LINJEN   2018</a:t>
          </a:r>
        </a:p>
        <a:p>
          <a:pPr algn="l" rtl="0">
            <a:defRPr sz="1000"/>
          </a:pPr>
          <a:endParaRPr lang="sv-FI"/>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2</xdr:row>
      <xdr:rowOff>0</xdr:rowOff>
    </xdr:from>
    <xdr:to>
      <xdr:col>9</xdr:col>
      <xdr:colOff>646257</xdr:colOff>
      <xdr:row>6</xdr:row>
      <xdr:rowOff>0</xdr:rowOff>
    </xdr:to>
    <xdr:sp macro="" textlink="">
      <xdr:nvSpPr>
        <xdr:cNvPr id="3" name="Text Box 85">
          <a:extLst>
            <a:ext uri="{FF2B5EF4-FFF2-40B4-BE49-F238E27FC236}">
              <a16:creationId xmlns:a16="http://schemas.microsoft.com/office/drawing/2014/main" id="{E736143C-FC60-4176-A601-A511F828E166}"/>
            </a:ext>
          </a:extLst>
        </xdr:cNvPr>
        <xdr:cNvSpPr txBox="1">
          <a:spLocks noChangeArrowheads="1"/>
        </xdr:cNvSpPr>
      </xdr:nvSpPr>
      <xdr:spPr bwMode="auto">
        <a:xfrm>
          <a:off x="0" y="154533600"/>
          <a:ext cx="6627957" cy="73152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endParaRPr lang="sv-FI" sz="1000" b="0" i="0" u="none" strike="noStrike" baseline="0">
            <a:solidFill>
              <a:srgbClr val="000000"/>
            </a:solidFill>
            <a:latin typeface="Arial"/>
            <a:cs typeface="Arial"/>
          </a:endParaRPr>
        </a:p>
        <a:p>
          <a:pPr algn="l" rtl="0">
            <a:defRPr sz="1000"/>
          </a:pPr>
          <a:r>
            <a:rPr lang="sv-FI" sz="1000" b="0" i="0" u="none" strike="noStrike" baseline="0">
              <a:solidFill>
                <a:srgbClr val="000000"/>
              </a:solidFill>
              <a:latin typeface="Arial"/>
              <a:cs typeface="Arial"/>
            </a:rPr>
            <a:t>                                                          </a:t>
          </a:r>
          <a:r>
            <a:rPr lang="sv-FI" sz="1400" b="1" i="0" u="none" strike="noStrike" baseline="0">
              <a:solidFill>
                <a:srgbClr val="000000"/>
              </a:solidFill>
              <a:latin typeface="Arial"/>
              <a:cs typeface="Arial"/>
            </a:rPr>
            <a:t>   TÖFTÖLINJEN 2017</a:t>
          </a:r>
        </a:p>
        <a:p>
          <a:pPr algn="l" rtl="0">
            <a:defRPr sz="1000"/>
          </a:pPr>
          <a:endParaRPr lang="sv-FI"/>
        </a:p>
      </xdr:txBody>
    </xdr:sp>
    <xdr:clientData/>
  </xdr:twoCellAnchor>
  <xdr:twoCellAnchor>
    <xdr:from>
      <xdr:col>0</xdr:col>
      <xdr:colOff>0</xdr:colOff>
      <xdr:row>25</xdr:row>
      <xdr:rowOff>0</xdr:rowOff>
    </xdr:from>
    <xdr:to>
      <xdr:col>9</xdr:col>
      <xdr:colOff>646257</xdr:colOff>
      <xdr:row>29</xdr:row>
      <xdr:rowOff>0</xdr:rowOff>
    </xdr:to>
    <xdr:sp macro="" textlink="">
      <xdr:nvSpPr>
        <xdr:cNvPr id="4" name="Text Box 85">
          <a:extLst>
            <a:ext uri="{FF2B5EF4-FFF2-40B4-BE49-F238E27FC236}">
              <a16:creationId xmlns:a16="http://schemas.microsoft.com/office/drawing/2014/main" id="{24BC585B-F46F-44B3-B80C-3BD536E79F91}"/>
            </a:ext>
          </a:extLst>
        </xdr:cNvPr>
        <xdr:cNvSpPr txBox="1">
          <a:spLocks noChangeArrowheads="1"/>
        </xdr:cNvSpPr>
      </xdr:nvSpPr>
      <xdr:spPr bwMode="auto">
        <a:xfrm>
          <a:off x="0" y="160524825"/>
          <a:ext cx="6742257" cy="7239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endParaRPr lang="sv-FI" sz="1000" b="0" i="0" u="none" strike="noStrike" baseline="0">
            <a:solidFill>
              <a:srgbClr val="000000"/>
            </a:solidFill>
            <a:latin typeface="Arial"/>
            <a:cs typeface="Arial"/>
          </a:endParaRPr>
        </a:p>
        <a:p>
          <a:pPr algn="l" rtl="0">
            <a:defRPr sz="1000"/>
          </a:pPr>
          <a:r>
            <a:rPr lang="sv-FI" sz="1000" b="0" i="0" u="none" strike="noStrike" baseline="0">
              <a:solidFill>
                <a:srgbClr val="000000"/>
              </a:solidFill>
              <a:latin typeface="Arial"/>
              <a:cs typeface="Arial"/>
            </a:rPr>
            <a:t>                                                          </a:t>
          </a:r>
          <a:r>
            <a:rPr lang="sv-FI" sz="1400" b="1" i="0" u="none" strike="noStrike" baseline="0">
              <a:solidFill>
                <a:srgbClr val="000000"/>
              </a:solidFill>
              <a:latin typeface="Arial"/>
              <a:cs typeface="Arial"/>
            </a:rPr>
            <a:t>   TÖFTÖLINJEN 2018</a:t>
          </a:r>
        </a:p>
        <a:p>
          <a:pPr algn="l" rtl="0">
            <a:defRPr sz="1000"/>
          </a:pPr>
          <a:endParaRPr lang="sv-FI"/>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257175</xdr:colOff>
      <xdr:row>0</xdr:row>
      <xdr:rowOff>0</xdr:rowOff>
    </xdr:to>
    <xdr:sp macro="" textlink="">
      <xdr:nvSpPr>
        <xdr:cNvPr id="54296" name="Text 1">
          <a:extLst>
            <a:ext uri="{FF2B5EF4-FFF2-40B4-BE49-F238E27FC236}">
              <a16:creationId xmlns:a16="http://schemas.microsoft.com/office/drawing/2014/main" id="{00000000-0008-0000-1000-000018D40000}"/>
            </a:ext>
          </a:extLst>
        </xdr:cNvPr>
        <xdr:cNvSpPr txBox="1">
          <a:spLocks noChangeArrowheads="1"/>
        </xdr:cNvSpPr>
      </xdr:nvSpPr>
      <xdr:spPr bwMode="auto">
        <a:xfrm>
          <a:off x="0" y="0"/>
          <a:ext cx="8467725"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sv-FI" sz="1000" b="0" i="0" u="none" strike="noStrike" baseline="0">
              <a:solidFill>
                <a:srgbClr val="000000"/>
              </a:solidFill>
              <a:latin typeface="Arial"/>
              <a:cs typeface="Arial"/>
            </a:rPr>
            <a:t>                                                 </a:t>
          </a:r>
          <a:r>
            <a:rPr lang="sv-FI" sz="1000" b="1" i="0" u="none" strike="noStrike" baseline="0">
              <a:solidFill>
                <a:srgbClr val="000000"/>
              </a:solidFill>
              <a:latin typeface="Arial"/>
              <a:cs typeface="Arial"/>
            </a:rPr>
            <a:t>           </a:t>
          </a:r>
        </a:p>
        <a:p>
          <a:pPr algn="l" rtl="0">
            <a:defRPr sz="1000"/>
          </a:pPr>
          <a:r>
            <a:rPr lang="sv-FI" sz="1000" b="1" i="0" u="none" strike="noStrike" baseline="0">
              <a:solidFill>
                <a:srgbClr val="000000"/>
              </a:solidFill>
              <a:latin typeface="Arial"/>
              <a:cs typeface="Arial"/>
            </a:rPr>
            <a:t>               M/S Doppingen                     </a:t>
          </a:r>
          <a:r>
            <a:rPr lang="sv-FI" sz="1400" b="1" i="0" u="none" strike="noStrike" baseline="0">
              <a:solidFill>
                <a:srgbClr val="000000"/>
              </a:solidFill>
              <a:latin typeface="Arial"/>
              <a:cs typeface="Arial"/>
            </a:rPr>
            <a:t>ÅVA-JURMO 2001</a:t>
          </a:r>
          <a:endParaRPr lang="sv-FI"/>
        </a:p>
      </xdr:txBody>
    </xdr:sp>
    <xdr:clientData/>
  </xdr:twoCellAnchor>
  <xdr:twoCellAnchor>
    <xdr:from>
      <xdr:col>0</xdr:col>
      <xdr:colOff>9525</xdr:colOff>
      <xdr:row>0</xdr:row>
      <xdr:rowOff>0</xdr:rowOff>
    </xdr:from>
    <xdr:to>
      <xdr:col>16</xdr:col>
      <xdr:colOff>9525</xdr:colOff>
      <xdr:row>0</xdr:row>
      <xdr:rowOff>0</xdr:rowOff>
    </xdr:to>
    <xdr:sp macro="" textlink="">
      <xdr:nvSpPr>
        <xdr:cNvPr id="54297" name="Text Box 25">
          <a:extLst>
            <a:ext uri="{FF2B5EF4-FFF2-40B4-BE49-F238E27FC236}">
              <a16:creationId xmlns:a16="http://schemas.microsoft.com/office/drawing/2014/main" id="{00000000-0008-0000-1000-000019D40000}"/>
            </a:ext>
          </a:extLst>
        </xdr:cNvPr>
        <xdr:cNvSpPr txBox="1">
          <a:spLocks noChangeArrowheads="1"/>
        </xdr:cNvSpPr>
      </xdr:nvSpPr>
      <xdr:spPr bwMode="auto">
        <a:xfrm>
          <a:off x="9525" y="0"/>
          <a:ext cx="821055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endParaRPr lang="sv-FI" sz="1000" b="0" i="0" u="none" strike="noStrike" baseline="0">
            <a:solidFill>
              <a:srgbClr val="000000"/>
            </a:solidFill>
            <a:latin typeface="Arial"/>
            <a:cs typeface="Arial"/>
          </a:endParaRPr>
        </a:p>
        <a:p>
          <a:pPr algn="l" rtl="0">
            <a:defRPr sz="1000"/>
          </a:pPr>
          <a:r>
            <a:rPr lang="sv-FI" sz="1000" b="0" i="0" u="none" strike="noStrike" baseline="0">
              <a:solidFill>
                <a:srgbClr val="000000"/>
              </a:solidFill>
              <a:latin typeface="Arial"/>
              <a:cs typeface="Arial"/>
            </a:rPr>
            <a:t>                     </a:t>
          </a:r>
          <a:r>
            <a:rPr lang="sv-FI" sz="1000" b="1" i="0" u="none" strike="noStrike" baseline="0">
              <a:solidFill>
                <a:srgbClr val="000000"/>
              </a:solidFill>
              <a:latin typeface="Arial"/>
              <a:cs typeface="Arial"/>
            </a:rPr>
            <a:t>M/S Doppingen  </a:t>
          </a:r>
          <a:r>
            <a:rPr lang="sv-FI" sz="1000" b="0" i="0" u="none" strike="noStrike" baseline="0">
              <a:solidFill>
                <a:srgbClr val="000000"/>
              </a:solidFill>
              <a:latin typeface="Arial"/>
              <a:cs typeface="Arial"/>
            </a:rPr>
            <a:t>                  </a:t>
          </a:r>
          <a:r>
            <a:rPr lang="sv-FI" sz="1400" b="1" i="0" u="none" strike="noStrike" baseline="0">
              <a:solidFill>
                <a:srgbClr val="000000"/>
              </a:solidFill>
              <a:latin typeface="Arial"/>
              <a:cs typeface="Arial"/>
            </a:rPr>
            <a:t> ÅVA-JURMO 2002</a:t>
          </a:r>
          <a:endParaRPr lang="sv-FI"/>
        </a:p>
      </xdr:txBody>
    </xdr:sp>
    <xdr:clientData/>
  </xdr:twoCellAnchor>
  <xdr:twoCellAnchor>
    <xdr:from>
      <xdr:col>16</xdr:col>
      <xdr:colOff>28575</xdr:colOff>
      <xdr:row>0</xdr:row>
      <xdr:rowOff>0</xdr:rowOff>
    </xdr:from>
    <xdr:to>
      <xdr:col>17</xdr:col>
      <xdr:colOff>1190625</xdr:colOff>
      <xdr:row>0</xdr:row>
      <xdr:rowOff>0</xdr:rowOff>
    </xdr:to>
    <xdr:sp macro="" textlink="">
      <xdr:nvSpPr>
        <xdr:cNvPr id="54298" name="Text Box 26">
          <a:extLst>
            <a:ext uri="{FF2B5EF4-FFF2-40B4-BE49-F238E27FC236}">
              <a16:creationId xmlns:a16="http://schemas.microsoft.com/office/drawing/2014/main" id="{00000000-0008-0000-1000-00001AD40000}"/>
            </a:ext>
          </a:extLst>
        </xdr:cNvPr>
        <xdr:cNvSpPr txBox="1">
          <a:spLocks noChangeArrowheads="1"/>
        </xdr:cNvSpPr>
      </xdr:nvSpPr>
      <xdr:spPr bwMode="auto">
        <a:xfrm>
          <a:off x="8239125" y="0"/>
          <a:ext cx="1038225"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sv-FI" sz="1000" b="0" i="0" u="none" strike="noStrike" baseline="0">
              <a:solidFill>
                <a:srgbClr val="000000"/>
              </a:solidFill>
              <a:latin typeface="Arial"/>
              <a:cs typeface="Arial"/>
            </a:rPr>
            <a:t>Förändring i procent</a:t>
          </a:r>
        </a:p>
        <a:p>
          <a:pPr algn="l" rtl="0">
            <a:defRPr sz="1000"/>
          </a:pPr>
          <a:r>
            <a:rPr lang="sv-FI" sz="1000" b="0" i="0" u="none" strike="noStrike" baseline="0">
              <a:solidFill>
                <a:srgbClr val="000000"/>
              </a:solidFill>
              <a:latin typeface="Arial"/>
              <a:cs typeface="Arial"/>
            </a:rPr>
            <a:t>  jmf. föregående år</a:t>
          </a:r>
          <a:endParaRPr lang="sv-FI"/>
        </a:p>
      </xdr:txBody>
    </xdr:sp>
    <xdr:clientData/>
  </xdr:twoCellAnchor>
  <xdr:twoCellAnchor>
    <xdr:from>
      <xdr:col>0</xdr:col>
      <xdr:colOff>0</xdr:colOff>
      <xdr:row>0</xdr:row>
      <xdr:rowOff>0</xdr:rowOff>
    </xdr:from>
    <xdr:to>
      <xdr:col>9</xdr:col>
      <xdr:colOff>257175</xdr:colOff>
      <xdr:row>0</xdr:row>
      <xdr:rowOff>0</xdr:rowOff>
    </xdr:to>
    <xdr:graphicFrame macro="">
      <xdr:nvGraphicFramePr>
        <xdr:cNvPr id="40287496" name="Diagram 27">
          <a:extLst>
            <a:ext uri="{FF2B5EF4-FFF2-40B4-BE49-F238E27FC236}">
              <a16:creationId xmlns:a16="http://schemas.microsoft.com/office/drawing/2014/main" id="{00000000-0008-0000-1000-000008BD66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16</xdr:col>
      <xdr:colOff>0</xdr:colOff>
      <xdr:row>0</xdr:row>
      <xdr:rowOff>0</xdr:rowOff>
    </xdr:to>
    <xdr:sp macro="" textlink="">
      <xdr:nvSpPr>
        <xdr:cNvPr id="54300" name="Text Box 28">
          <a:extLst>
            <a:ext uri="{FF2B5EF4-FFF2-40B4-BE49-F238E27FC236}">
              <a16:creationId xmlns:a16="http://schemas.microsoft.com/office/drawing/2014/main" id="{00000000-0008-0000-1000-00001CD40000}"/>
            </a:ext>
          </a:extLst>
        </xdr:cNvPr>
        <xdr:cNvSpPr txBox="1">
          <a:spLocks noChangeArrowheads="1"/>
        </xdr:cNvSpPr>
      </xdr:nvSpPr>
      <xdr:spPr bwMode="auto">
        <a:xfrm>
          <a:off x="9525" y="0"/>
          <a:ext cx="8201025"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endParaRPr lang="sv-FI" sz="1000" b="1" i="0" u="none" strike="noStrike" baseline="0">
            <a:solidFill>
              <a:srgbClr val="000000"/>
            </a:solidFill>
            <a:latin typeface="Arial"/>
            <a:cs typeface="Arial"/>
          </a:endParaRPr>
        </a:p>
        <a:p>
          <a:pPr algn="l" rtl="0">
            <a:defRPr sz="1000"/>
          </a:pPr>
          <a:r>
            <a:rPr lang="sv-FI" sz="1000" b="1" i="0" u="none" strike="noStrike" baseline="0">
              <a:solidFill>
                <a:srgbClr val="000000"/>
              </a:solidFill>
              <a:latin typeface="Arial"/>
              <a:cs typeface="Arial"/>
            </a:rPr>
            <a:t>              M/S Doppingen                        </a:t>
          </a:r>
          <a:r>
            <a:rPr lang="sv-FI" sz="1400" b="1" i="0" u="none" strike="noStrike" baseline="0">
              <a:solidFill>
                <a:srgbClr val="000000"/>
              </a:solidFill>
              <a:latin typeface="Arial"/>
              <a:cs typeface="Arial"/>
            </a:rPr>
            <a:t>ÅVA-JURMO 2003</a:t>
          </a:r>
          <a:endParaRPr lang="sv-FI"/>
        </a:p>
      </xdr:txBody>
    </xdr:sp>
    <xdr:clientData/>
  </xdr:twoCellAnchor>
  <xdr:twoCellAnchor>
    <xdr:from>
      <xdr:col>16</xdr:col>
      <xdr:colOff>9525</xdr:colOff>
      <xdr:row>0</xdr:row>
      <xdr:rowOff>0</xdr:rowOff>
    </xdr:from>
    <xdr:to>
      <xdr:col>18</xdr:col>
      <xdr:colOff>0</xdr:colOff>
      <xdr:row>0</xdr:row>
      <xdr:rowOff>0</xdr:rowOff>
    </xdr:to>
    <xdr:sp macro="" textlink="">
      <xdr:nvSpPr>
        <xdr:cNvPr id="54301" name="Text Box 29">
          <a:extLst>
            <a:ext uri="{FF2B5EF4-FFF2-40B4-BE49-F238E27FC236}">
              <a16:creationId xmlns:a16="http://schemas.microsoft.com/office/drawing/2014/main" id="{00000000-0008-0000-1000-00001DD40000}"/>
            </a:ext>
          </a:extLst>
        </xdr:cNvPr>
        <xdr:cNvSpPr txBox="1">
          <a:spLocks noChangeArrowheads="1"/>
        </xdr:cNvSpPr>
      </xdr:nvSpPr>
      <xdr:spPr bwMode="auto">
        <a:xfrm>
          <a:off x="8220075" y="0"/>
          <a:ext cx="1057275"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sv-FI" sz="1000" b="0" i="0" u="none" strike="noStrike" baseline="0">
              <a:solidFill>
                <a:srgbClr val="000000"/>
              </a:solidFill>
              <a:latin typeface="Arial"/>
              <a:cs typeface="Arial"/>
            </a:rPr>
            <a:t> Förändring i procent</a:t>
          </a:r>
        </a:p>
        <a:p>
          <a:pPr algn="l" rtl="0">
            <a:defRPr sz="1000"/>
          </a:pPr>
          <a:r>
            <a:rPr lang="sv-FI" sz="1000" b="0" i="0" u="none" strike="noStrike" baseline="0">
              <a:solidFill>
                <a:srgbClr val="000000"/>
              </a:solidFill>
              <a:latin typeface="Arial"/>
              <a:cs typeface="Arial"/>
            </a:rPr>
            <a:t>  jmf. föregående år</a:t>
          </a:r>
          <a:endParaRPr lang="sv-FI"/>
        </a:p>
      </xdr:txBody>
    </xdr:sp>
    <xdr:clientData/>
  </xdr:twoCellAnchor>
  <xdr:twoCellAnchor>
    <xdr:from>
      <xdr:col>9</xdr:col>
      <xdr:colOff>266700</xdr:colOff>
      <xdr:row>0</xdr:row>
      <xdr:rowOff>0</xdr:rowOff>
    </xdr:from>
    <xdr:to>
      <xdr:col>18</xdr:col>
      <xdr:colOff>0</xdr:colOff>
      <xdr:row>0</xdr:row>
      <xdr:rowOff>0</xdr:rowOff>
    </xdr:to>
    <xdr:sp macro="" textlink="">
      <xdr:nvSpPr>
        <xdr:cNvPr id="40287499" name="Text Box 30">
          <a:extLst>
            <a:ext uri="{FF2B5EF4-FFF2-40B4-BE49-F238E27FC236}">
              <a16:creationId xmlns:a16="http://schemas.microsoft.com/office/drawing/2014/main" id="{00000000-0008-0000-1000-00000BBD6602}"/>
            </a:ext>
          </a:extLst>
        </xdr:cNvPr>
        <xdr:cNvSpPr txBox="1">
          <a:spLocks noChangeArrowheads="1"/>
        </xdr:cNvSpPr>
      </xdr:nvSpPr>
      <xdr:spPr bwMode="auto">
        <a:xfrm>
          <a:off x="4876800" y="0"/>
          <a:ext cx="4400550" cy="0"/>
        </a:xfrm>
        <a:prstGeom prst="rect">
          <a:avLst/>
        </a:prstGeom>
        <a:solidFill>
          <a:srgbClr val="FFFFFF"/>
        </a:solidFill>
        <a:ln w="9525">
          <a:solidFill>
            <a:srgbClr val="000000"/>
          </a:solidFill>
          <a:miter lim="800000"/>
          <a:headEnd/>
          <a:tailEnd/>
        </a:ln>
      </xdr:spPr>
    </xdr:sp>
    <xdr:clientData/>
  </xdr:twoCellAnchor>
  <xdr:twoCellAnchor>
    <xdr:from>
      <xdr:col>0</xdr:col>
      <xdr:colOff>9525</xdr:colOff>
      <xdr:row>0</xdr:row>
      <xdr:rowOff>0</xdr:rowOff>
    </xdr:from>
    <xdr:to>
      <xdr:col>17</xdr:col>
      <xdr:colOff>1009650</xdr:colOff>
      <xdr:row>0</xdr:row>
      <xdr:rowOff>0</xdr:rowOff>
    </xdr:to>
    <xdr:sp macro="" textlink="">
      <xdr:nvSpPr>
        <xdr:cNvPr id="40287500" name="Text Box 31">
          <a:extLst>
            <a:ext uri="{FF2B5EF4-FFF2-40B4-BE49-F238E27FC236}">
              <a16:creationId xmlns:a16="http://schemas.microsoft.com/office/drawing/2014/main" id="{00000000-0008-0000-1000-00000CBD6602}"/>
            </a:ext>
          </a:extLst>
        </xdr:cNvPr>
        <xdr:cNvSpPr txBox="1">
          <a:spLocks noChangeArrowheads="1"/>
        </xdr:cNvSpPr>
      </xdr:nvSpPr>
      <xdr:spPr bwMode="auto">
        <a:xfrm>
          <a:off x="9525" y="0"/>
          <a:ext cx="9267825" cy="0"/>
        </a:xfrm>
        <a:prstGeom prst="rect">
          <a:avLst/>
        </a:prstGeom>
        <a:solidFill>
          <a:srgbClr val="FFFFFF"/>
        </a:solidFill>
        <a:ln w="9525">
          <a:solidFill>
            <a:srgbClr val="000000"/>
          </a:solidFill>
          <a:miter lim="800000"/>
          <a:headEnd/>
          <a:tailEnd/>
        </a:ln>
      </xdr:spPr>
    </xdr:sp>
    <xdr:clientData/>
  </xdr:twoCellAnchor>
  <xdr:twoCellAnchor>
    <xdr:from>
      <xdr:col>0</xdr:col>
      <xdr:colOff>38100</xdr:colOff>
      <xdr:row>0</xdr:row>
      <xdr:rowOff>0</xdr:rowOff>
    </xdr:from>
    <xdr:to>
      <xdr:col>9</xdr:col>
      <xdr:colOff>400050</xdr:colOff>
      <xdr:row>0</xdr:row>
      <xdr:rowOff>0</xdr:rowOff>
    </xdr:to>
    <xdr:graphicFrame macro="">
      <xdr:nvGraphicFramePr>
        <xdr:cNvPr id="40287501" name="Diagram 32">
          <a:extLst>
            <a:ext uri="{FF2B5EF4-FFF2-40B4-BE49-F238E27FC236}">
              <a16:creationId xmlns:a16="http://schemas.microsoft.com/office/drawing/2014/main" id="{00000000-0008-0000-1000-00000DBD66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0</xdr:row>
      <xdr:rowOff>0</xdr:rowOff>
    </xdr:from>
    <xdr:to>
      <xdr:col>16</xdr:col>
      <xdr:colOff>0</xdr:colOff>
      <xdr:row>0</xdr:row>
      <xdr:rowOff>0</xdr:rowOff>
    </xdr:to>
    <xdr:sp macro="" textlink="">
      <xdr:nvSpPr>
        <xdr:cNvPr id="54305" name="Text Box 33">
          <a:extLst>
            <a:ext uri="{FF2B5EF4-FFF2-40B4-BE49-F238E27FC236}">
              <a16:creationId xmlns:a16="http://schemas.microsoft.com/office/drawing/2014/main" id="{00000000-0008-0000-1000-000021D40000}"/>
            </a:ext>
          </a:extLst>
        </xdr:cNvPr>
        <xdr:cNvSpPr txBox="1">
          <a:spLocks noChangeArrowheads="1"/>
        </xdr:cNvSpPr>
      </xdr:nvSpPr>
      <xdr:spPr bwMode="auto">
        <a:xfrm>
          <a:off x="9525" y="0"/>
          <a:ext cx="8201025"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endParaRPr lang="sv-FI" sz="1000" b="1" i="0" u="none" strike="noStrike" baseline="0">
            <a:solidFill>
              <a:srgbClr val="000000"/>
            </a:solidFill>
            <a:latin typeface="Arial"/>
            <a:cs typeface="Arial"/>
          </a:endParaRPr>
        </a:p>
        <a:p>
          <a:pPr algn="l" rtl="0">
            <a:defRPr sz="1000"/>
          </a:pPr>
          <a:r>
            <a:rPr lang="sv-FI" sz="1000" b="1" i="0" u="none" strike="noStrike" baseline="0">
              <a:solidFill>
                <a:srgbClr val="000000"/>
              </a:solidFill>
              <a:latin typeface="Arial"/>
              <a:cs typeface="Arial"/>
            </a:rPr>
            <a:t>              M/S Doppingen                        </a:t>
          </a:r>
          <a:r>
            <a:rPr lang="sv-FI" sz="1400" b="1" i="0" u="none" strike="noStrike" baseline="0">
              <a:solidFill>
                <a:srgbClr val="000000"/>
              </a:solidFill>
              <a:latin typeface="Arial"/>
              <a:cs typeface="Arial"/>
            </a:rPr>
            <a:t>ÅVA-JURMO 2004</a:t>
          </a:r>
          <a:endParaRPr lang="sv-FI"/>
        </a:p>
      </xdr:txBody>
    </xdr:sp>
    <xdr:clientData/>
  </xdr:twoCellAnchor>
  <xdr:twoCellAnchor>
    <xdr:from>
      <xdr:col>16</xdr:col>
      <xdr:colOff>9525</xdr:colOff>
      <xdr:row>0</xdr:row>
      <xdr:rowOff>0</xdr:rowOff>
    </xdr:from>
    <xdr:to>
      <xdr:col>17</xdr:col>
      <xdr:colOff>1019175</xdr:colOff>
      <xdr:row>0</xdr:row>
      <xdr:rowOff>0</xdr:rowOff>
    </xdr:to>
    <xdr:sp macro="" textlink="">
      <xdr:nvSpPr>
        <xdr:cNvPr id="54306" name="Text Box 34">
          <a:extLst>
            <a:ext uri="{FF2B5EF4-FFF2-40B4-BE49-F238E27FC236}">
              <a16:creationId xmlns:a16="http://schemas.microsoft.com/office/drawing/2014/main" id="{00000000-0008-0000-1000-000022D40000}"/>
            </a:ext>
          </a:extLst>
        </xdr:cNvPr>
        <xdr:cNvSpPr txBox="1">
          <a:spLocks noChangeArrowheads="1"/>
        </xdr:cNvSpPr>
      </xdr:nvSpPr>
      <xdr:spPr bwMode="auto">
        <a:xfrm>
          <a:off x="8220075" y="0"/>
          <a:ext cx="1057275"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sv-FI" sz="1000" b="0" i="0" u="none" strike="noStrike" baseline="0">
              <a:solidFill>
                <a:srgbClr val="000000"/>
              </a:solidFill>
              <a:latin typeface="Arial"/>
              <a:cs typeface="Arial"/>
            </a:rPr>
            <a:t> Förändring i procent</a:t>
          </a:r>
        </a:p>
        <a:p>
          <a:pPr algn="l" rtl="0">
            <a:defRPr sz="1000"/>
          </a:pPr>
          <a:r>
            <a:rPr lang="sv-FI" sz="1000" b="0" i="0" u="none" strike="noStrike" baseline="0">
              <a:solidFill>
                <a:srgbClr val="000000"/>
              </a:solidFill>
              <a:latin typeface="Arial"/>
              <a:cs typeface="Arial"/>
            </a:rPr>
            <a:t>  jmf. föregående år</a:t>
          </a:r>
          <a:endParaRPr lang="sv-FI"/>
        </a:p>
      </xdr:txBody>
    </xdr:sp>
    <xdr:clientData/>
  </xdr:twoCellAnchor>
  <xdr:twoCellAnchor>
    <xdr:from>
      <xdr:col>0</xdr:col>
      <xdr:colOff>0</xdr:colOff>
      <xdr:row>0</xdr:row>
      <xdr:rowOff>0</xdr:rowOff>
    </xdr:from>
    <xdr:to>
      <xdr:col>10</xdr:col>
      <xdr:colOff>0</xdr:colOff>
      <xdr:row>0</xdr:row>
      <xdr:rowOff>0</xdr:rowOff>
    </xdr:to>
    <xdr:graphicFrame macro="">
      <xdr:nvGraphicFramePr>
        <xdr:cNvPr id="40287504" name="Diagram 35">
          <a:extLst>
            <a:ext uri="{FF2B5EF4-FFF2-40B4-BE49-F238E27FC236}">
              <a16:creationId xmlns:a16="http://schemas.microsoft.com/office/drawing/2014/main" id="{00000000-0008-0000-1000-000010BD66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9525</xdr:colOff>
      <xdr:row>0</xdr:row>
      <xdr:rowOff>0</xdr:rowOff>
    </xdr:from>
    <xdr:to>
      <xdr:col>18</xdr:col>
      <xdr:colOff>0</xdr:colOff>
      <xdr:row>0</xdr:row>
      <xdr:rowOff>0</xdr:rowOff>
    </xdr:to>
    <xdr:sp macro="" textlink="">
      <xdr:nvSpPr>
        <xdr:cNvPr id="40287505" name="Text Box 36">
          <a:extLst>
            <a:ext uri="{FF2B5EF4-FFF2-40B4-BE49-F238E27FC236}">
              <a16:creationId xmlns:a16="http://schemas.microsoft.com/office/drawing/2014/main" id="{00000000-0008-0000-1000-000011BD6602}"/>
            </a:ext>
          </a:extLst>
        </xdr:cNvPr>
        <xdr:cNvSpPr txBox="1">
          <a:spLocks noChangeArrowheads="1"/>
        </xdr:cNvSpPr>
      </xdr:nvSpPr>
      <xdr:spPr bwMode="auto">
        <a:xfrm>
          <a:off x="5067300" y="0"/>
          <a:ext cx="4210050" cy="0"/>
        </a:xfrm>
        <a:prstGeom prst="rect">
          <a:avLst/>
        </a:prstGeom>
        <a:solidFill>
          <a:srgbClr val="FFFFFF"/>
        </a:solidFill>
        <a:ln w="9525">
          <a:solidFill>
            <a:srgbClr val="000000"/>
          </a:solidFill>
          <a:miter lim="800000"/>
          <a:headEnd/>
          <a:tailEnd/>
        </a:ln>
      </xdr:spPr>
    </xdr:sp>
    <xdr:clientData/>
  </xdr:twoCellAnchor>
  <xdr:twoCellAnchor>
    <xdr:from>
      <xdr:col>0</xdr:col>
      <xdr:colOff>9525</xdr:colOff>
      <xdr:row>0</xdr:row>
      <xdr:rowOff>0</xdr:rowOff>
    </xdr:from>
    <xdr:to>
      <xdr:col>16</xdr:col>
      <xdr:colOff>0</xdr:colOff>
      <xdr:row>0</xdr:row>
      <xdr:rowOff>0</xdr:rowOff>
    </xdr:to>
    <xdr:sp macro="" textlink="">
      <xdr:nvSpPr>
        <xdr:cNvPr id="54309" name="Text Box 37">
          <a:extLst>
            <a:ext uri="{FF2B5EF4-FFF2-40B4-BE49-F238E27FC236}">
              <a16:creationId xmlns:a16="http://schemas.microsoft.com/office/drawing/2014/main" id="{00000000-0008-0000-1000-000025D40000}"/>
            </a:ext>
          </a:extLst>
        </xdr:cNvPr>
        <xdr:cNvSpPr txBox="1">
          <a:spLocks noChangeArrowheads="1"/>
        </xdr:cNvSpPr>
      </xdr:nvSpPr>
      <xdr:spPr bwMode="auto">
        <a:xfrm>
          <a:off x="9525" y="0"/>
          <a:ext cx="8201025"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endParaRPr lang="sv-FI" sz="1000" b="0" i="0" u="none" strike="noStrike" baseline="0">
            <a:solidFill>
              <a:srgbClr val="000000"/>
            </a:solidFill>
            <a:latin typeface="Arial"/>
            <a:cs typeface="Arial"/>
          </a:endParaRPr>
        </a:p>
        <a:p>
          <a:pPr algn="l" rtl="0">
            <a:defRPr sz="1000"/>
          </a:pPr>
          <a:r>
            <a:rPr lang="sv-FI" sz="1000" b="0" i="0" u="none" strike="noStrike" baseline="0">
              <a:solidFill>
                <a:srgbClr val="000000"/>
              </a:solidFill>
              <a:latin typeface="Arial"/>
              <a:cs typeface="Arial"/>
            </a:rPr>
            <a:t>             </a:t>
          </a:r>
          <a:r>
            <a:rPr lang="sv-FI" sz="1000" b="1" i="0" u="none" strike="noStrike" baseline="0">
              <a:solidFill>
                <a:srgbClr val="000000"/>
              </a:solidFill>
              <a:latin typeface="Arial"/>
              <a:cs typeface="Arial"/>
            </a:rPr>
            <a:t>M/S DOPPINGEN                          </a:t>
          </a:r>
          <a:r>
            <a:rPr lang="sv-FI" sz="1400" b="1" i="0" u="none" strike="noStrike" baseline="0">
              <a:solidFill>
                <a:srgbClr val="000000"/>
              </a:solidFill>
              <a:latin typeface="Arial"/>
              <a:cs typeface="Arial"/>
            </a:rPr>
            <a:t>ÅVA-JURMO 2005</a:t>
          </a:r>
          <a:endParaRPr lang="sv-FI"/>
        </a:p>
      </xdr:txBody>
    </xdr:sp>
    <xdr:clientData/>
  </xdr:twoCellAnchor>
  <xdr:twoCellAnchor>
    <xdr:from>
      <xdr:col>16</xdr:col>
      <xdr:colOff>0</xdr:colOff>
      <xdr:row>0</xdr:row>
      <xdr:rowOff>0</xdr:rowOff>
    </xdr:from>
    <xdr:to>
      <xdr:col>18</xdr:col>
      <xdr:colOff>0</xdr:colOff>
      <xdr:row>0</xdr:row>
      <xdr:rowOff>0</xdr:rowOff>
    </xdr:to>
    <xdr:sp macro="" textlink="">
      <xdr:nvSpPr>
        <xdr:cNvPr id="54310" name="Text Box 38">
          <a:extLst>
            <a:ext uri="{FF2B5EF4-FFF2-40B4-BE49-F238E27FC236}">
              <a16:creationId xmlns:a16="http://schemas.microsoft.com/office/drawing/2014/main" id="{00000000-0008-0000-1000-000026D40000}"/>
            </a:ext>
          </a:extLst>
        </xdr:cNvPr>
        <xdr:cNvSpPr txBox="1">
          <a:spLocks noChangeArrowheads="1"/>
        </xdr:cNvSpPr>
      </xdr:nvSpPr>
      <xdr:spPr bwMode="auto">
        <a:xfrm>
          <a:off x="8210550" y="0"/>
          <a:ext cx="106680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sv-FI" sz="1000" b="0" i="0" u="none" strike="noStrike" baseline="0">
              <a:solidFill>
                <a:srgbClr val="000000"/>
              </a:solidFill>
              <a:latin typeface="Arial"/>
              <a:cs typeface="Arial"/>
            </a:rPr>
            <a:t>Förändring i procent jämfört </a:t>
          </a:r>
        </a:p>
        <a:p>
          <a:pPr algn="l" rtl="0">
            <a:defRPr sz="1000"/>
          </a:pPr>
          <a:r>
            <a:rPr lang="sv-FI" sz="1000" b="0" i="0" u="none" strike="noStrike" baseline="0">
              <a:solidFill>
                <a:srgbClr val="000000"/>
              </a:solidFill>
              <a:latin typeface="Arial"/>
              <a:cs typeface="Arial"/>
            </a:rPr>
            <a:t>med föregående år</a:t>
          </a:r>
          <a:endParaRPr lang="sv-FI"/>
        </a:p>
      </xdr:txBody>
    </xdr:sp>
    <xdr:clientData/>
  </xdr:twoCellAnchor>
  <xdr:twoCellAnchor>
    <xdr:from>
      <xdr:col>0</xdr:col>
      <xdr:colOff>0</xdr:colOff>
      <xdr:row>0</xdr:row>
      <xdr:rowOff>0</xdr:rowOff>
    </xdr:from>
    <xdr:to>
      <xdr:col>9</xdr:col>
      <xdr:colOff>600075</xdr:colOff>
      <xdr:row>0</xdr:row>
      <xdr:rowOff>0</xdr:rowOff>
    </xdr:to>
    <xdr:graphicFrame macro="">
      <xdr:nvGraphicFramePr>
        <xdr:cNvPr id="40287508" name="Diagram 39">
          <a:extLst>
            <a:ext uri="{FF2B5EF4-FFF2-40B4-BE49-F238E27FC236}">
              <a16:creationId xmlns:a16="http://schemas.microsoft.com/office/drawing/2014/main" id="{00000000-0008-0000-1000-000014BD66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16</xdr:col>
      <xdr:colOff>0</xdr:colOff>
      <xdr:row>0</xdr:row>
      <xdr:rowOff>0</xdr:rowOff>
    </xdr:from>
    <xdr:to>
      <xdr:col>16</xdr:col>
      <xdr:colOff>82550</xdr:colOff>
      <xdr:row>1</xdr:row>
      <xdr:rowOff>46355</xdr:rowOff>
    </xdr:to>
    <xdr:sp macro="" textlink="">
      <xdr:nvSpPr>
        <xdr:cNvPr id="40287531" name="Text Box 65">
          <a:extLst>
            <a:ext uri="{FF2B5EF4-FFF2-40B4-BE49-F238E27FC236}">
              <a16:creationId xmlns:a16="http://schemas.microsoft.com/office/drawing/2014/main" id="{00000000-0008-0000-1000-00002BBD6602}"/>
            </a:ext>
          </a:extLst>
        </xdr:cNvPr>
        <xdr:cNvSpPr txBox="1">
          <a:spLocks noChangeArrowheads="1"/>
        </xdr:cNvSpPr>
      </xdr:nvSpPr>
      <xdr:spPr bwMode="auto">
        <a:xfrm>
          <a:off x="8210550" y="30765750"/>
          <a:ext cx="8572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4</xdr:row>
      <xdr:rowOff>91439</xdr:rowOff>
    </xdr:from>
    <xdr:to>
      <xdr:col>15</xdr:col>
      <xdr:colOff>555741</xdr:colOff>
      <xdr:row>8</xdr:row>
      <xdr:rowOff>108065</xdr:rowOff>
    </xdr:to>
    <xdr:sp macro="" textlink="">
      <xdr:nvSpPr>
        <xdr:cNvPr id="61" name="Text Box 75">
          <a:extLst>
            <a:ext uri="{FF2B5EF4-FFF2-40B4-BE49-F238E27FC236}">
              <a16:creationId xmlns:a16="http://schemas.microsoft.com/office/drawing/2014/main" id="{00000000-0008-0000-1000-00003D000000}"/>
            </a:ext>
          </a:extLst>
        </xdr:cNvPr>
        <xdr:cNvSpPr txBox="1">
          <a:spLocks noChangeArrowheads="1"/>
        </xdr:cNvSpPr>
      </xdr:nvSpPr>
      <xdr:spPr bwMode="auto">
        <a:xfrm>
          <a:off x="0" y="66061243"/>
          <a:ext cx="8161886" cy="648393"/>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endParaRPr lang="sv-FI" sz="1000" b="0" i="0" u="none" strike="noStrike" baseline="0">
            <a:solidFill>
              <a:srgbClr val="000000"/>
            </a:solidFill>
            <a:latin typeface="Arial"/>
            <a:cs typeface="Arial"/>
          </a:endParaRPr>
        </a:p>
        <a:p>
          <a:pPr algn="l" rtl="0">
            <a:defRPr sz="1000"/>
          </a:pPr>
          <a:r>
            <a:rPr lang="sv-FI" sz="1000" b="0" i="0" u="none" strike="noStrike" baseline="0">
              <a:solidFill>
                <a:srgbClr val="000000"/>
              </a:solidFill>
              <a:latin typeface="Arial"/>
              <a:cs typeface="Arial"/>
            </a:rPr>
            <a:t>                                                </a:t>
          </a:r>
          <a:r>
            <a:rPr lang="sv-FI" sz="1000" b="1" i="0" u="none" strike="noStrike" baseline="0">
              <a:solidFill>
                <a:srgbClr val="000000"/>
              </a:solidFill>
              <a:latin typeface="Arial"/>
              <a:cs typeface="Arial"/>
            </a:rPr>
            <a:t>       M/S DOPPINGEN                   </a:t>
          </a:r>
          <a:r>
            <a:rPr lang="sv-FI" sz="1400" b="1" i="0" u="none" strike="noStrike" baseline="0">
              <a:solidFill>
                <a:srgbClr val="000000"/>
              </a:solidFill>
              <a:latin typeface="Arial"/>
              <a:cs typeface="Arial"/>
            </a:rPr>
            <a:t>  ÅVA - JURMOLINJEN   2017</a:t>
          </a:r>
        </a:p>
        <a:p>
          <a:pPr algn="l" rtl="0">
            <a:defRPr sz="1000"/>
          </a:pPr>
          <a:endParaRPr lang="sv-FI"/>
        </a:p>
      </xdr:txBody>
    </xdr:sp>
    <xdr:clientData/>
  </xdr:twoCellAnchor>
  <xdr:twoCellAnchor>
    <xdr:from>
      <xdr:col>0</xdr:col>
      <xdr:colOff>0</xdr:colOff>
      <xdr:row>30</xdr:row>
      <xdr:rowOff>91439</xdr:rowOff>
    </xdr:from>
    <xdr:to>
      <xdr:col>15</xdr:col>
      <xdr:colOff>555741</xdr:colOff>
      <xdr:row>34</xdr:row>
      <xdr:rowOff>108065</xdr:rowOff>
    </xdr:to>
    <xdr:sp macro="" textlink="">
      <xdr:nvSpPr>
        <xdr:cNvPr id="65" name="Text Box 75">
          <a:extLst>
            <a:ext uri="{FF2B5EF4-FFF2-40B4-BE49-F238E27FC236}">
              <a16:creationId xmlns:a16="http://schemas.microsoft.com/office/drawing/2014/main" id="{6D6BFAEF-CC48-4749-A3C7-0B29F35ECE5B}"/>
            </a:ext>
          </a:extLst>
        </xdr:cNvPr>
        <xdr:cNvSpPr txBox="1">
          <a:spLocks noChangeArrowheads="1"/>
        </xdr:cNvSpPr>
      </xdr:nvSpPr>
      <xdr:spPr bwMode="auto">
        <a:xfrm>
          <a:off x="0" y="70204964"/>
          <a:ext cx="8251941" cy="664326"/>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endParaRPr lang="sv-FI" sz="1000" b="0" i="0" u="none" strike="noStrike" baseline="0">
            <a:solidFill>
              <a:srgbClr val="000000"/>
            </a:solidFill>
            <a:latin typeface="Arial"/>
            <a:cs typeface="Arial"/>
          </a:endParaRPr>
        </a:p>
        <a:p>
          <a:pPr algn="l" rtl="0">
            <a:defRPr sz="1000"/>
          </a:pPr>
          <a:r>
            <a:rPr lang="sv-FI" sz="1000" b="0" i="0" u="none" strike="noStrike" baseline="0">
              <a:solidFill>
                <a:srgbClr val="000000"/>
              </a:solidFill>
              <a:latin typeface="Arial"/>
              <a:cs typeface="Arial"/>
            </a:rPr>
            <a:t>                                                </a:t>
          </a:r>
          <a:r>
            <a:rPr lang="sv-FI" sz="1000" b="1" i="0" u="none" strike="noStrike" baseline="0">
              <a:solidFill>
                <a:srgbClr val="000000"/>
              </a:solidFill>
              <a:latin typeface="Arial"/>
              <a:cs typeface="Arial"/>
            </a:rPr>
            <a:t>       M/S DOPPINGEN                   </a:t>
          </a:r>
          <a:r>
            <a:rPr lang="sv-FI" sz="1400" b="1" i="0" u="none" strike="noStrike" baseline="0">
              <a:solidFill>
                <a:srgbClr val="000000"/>
              </a:solidFill>
              <a:latin typeface="Arial"/>
              <a:cs typeface="Arial"/>
            </a:rPr>
            <a:t>  ÅVA - JURMOLINJEN   2018</a:t>
          </a:r>
        </a:p>
        <a:p>
          <a:pPr algn="l" rtl="0">
            <a:defRPr sz="1000"/>
          </a:pPr>
          <a:endParaRPr lang="sv-FI"/>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2</xdr:row>
      <xdr:rowOff>0</xdr:rowOff>
    </xdr:from>
    <xdr:to>
      <xdr:col>9</xdr:col>
      <xdr:colOff>646258</xdr:colOff>
      <xdr:row>6</xdr:row>
      <xdr:rowOff>18474</xdr:rowOff>
    </xdr:to>
    <xdr:sp macro="" textlink="">
      <xdr:nvSpPr>
        <xdr:cNvPr id="2" name="Text Box 84">
          <a:extLst>
            <a:ext uri="{FF2B5EF4-FFF2-40B4-BE49-F238E27FC236}">
              <a16:creationId xmlns:a16="http://schemas.microsoft.com/office/drawing/2014/main" id="{AAFA828A-3AAF-4163-9C54-3246F33A343F}"/>
            </a:ext>
          </a:extLst>
        </xdr:cNvPr>
        <xdr:cNvSpPr txBox="1">
          <a:spLocks noChangeArrowheads="1"/>
        </xdr:cNvSpPr>
      </xdr:nvSpPr>
      <xdr:spPr bwMode="auto">
        <a:xfrm>
          <a:off x="0" y="139255500"/>
          <a:ext cx="6399358" cy="658554"/>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endParaRPr lang="sv-FI" sz="1000" b="0" i="0" u="none" strike="noStrike" baseline="0">
            <a:solidFill>
              <a:srgbClr val="000000"/>
            </a:solidFill>
            <a:latin typeface="Arial"/>
            <a:cs typeface="Arial"/>
          </a:endParaRPr>
        </a:p>
        <a:p>
          <a:pPr algn="l" rtl="0">
            <a:defRPr sz="1000"/>
          </a:pPr>
          <a:r>
            <a:rPr lang="sv-FI" sz="1000" b="0" i="0" u="none" strike="noStrike" baseline="0">
              <a:solidFill>
                <a:srgbClr val="000000"/>
              </a:solidFill>
              <a:latin typeface="Arial"/>
              <a:cs typeface="Arial"/>
            </a:rPr>
            <a:t>                                                                            </a:t>
          </a:r>
          <a:r>
            <a:rPr lang="sv-FI" sz="1400" b="1" i="0" u="none" strike="noStrike" baseline="0">
              <a:solidFill>
                <a:srgbClr val="000000"/>
              </a:solidFill>
              <a:latin typeface="Arial"/>
              <a:cs typeface="Arial"/>
            </a:rPr>
            <a:t>   ÄNGÖSUNDSLINJEN   2017</a:t>
          </a:r>
          <a:endParaRPr lang="sv-FI"/>
        </a:p>
      </xdr:txBody>
    </xdr:sp>
    <xdr:clientData/>
  </xdr:twoCellAnchor>
  <xdr:twoCellAnchor>
    <xdr:from>
      <xdr:col>0</xdr:col>
      <xdr:colOff>0</xdr:colOff>
      <xdr:row>26</xdr:row>
      <xdr:rowOff>116417</xdr:rowOff>
    </xdr:from>
    <xdr:to>
      <xdr:col>9</xdr:col>
      <xdr:colOff>646258</xdr:colOff>
      <xdr:row>30</xdr:row>
      <xdr:rowOff>134891</xdr:rowOff>
    </xdr:to>
    <xdr:sp macro="" textlink="">
      <xdr:nvSpPr>
        <xdr:cNvPr id="3" name="Text Box 84">
          <a:extLst>
            <a:ext uri="{FF2B5EF4-FFF2-40B4-BE49-F238E27FC236}">
              <a16:creationId xmlns:a16="http://schemas.microsoft.com/office/drawing/2014/main" id="{554EFF40-B973-4777-B39C-F767803FC5B3}"/>
            </a:ext>
          </a:extLst>
        </xdr:cNvPr>
        <xdr:cNvSpPr txBox="1">
          <a:spLocks noChangeArrowheads="1"/>
        </xdr:cNvSpPr>
      </xdr:nvSpPr>
      <xdr:spPr bwMode="auto">
        <a:xfrm>
          <a:off x="0" y="147014777"/>
          <a:ext cx="6399358" cy="658554"/>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endParaRPr lang="sv-FI" sz="1000" b="0" i="0" u="none" strike="noStrike" baseline="0">
            <a:solidFill>
              <a:srgbClr val="000000"/>
            </a:solidFill>
            <a:latin typeface="Arial"/>
            <a:cs typeface="Arial"/>
          </a:endParaRPr>
        </a:p>
        <a:p>
          <a:pPr algn="l" rtl="0">
            <a:defRPr sz="1000"/>
          </a:pPr>
          <a:r>
            <a:rPr lang="sv-FI" sz="1000" b="0" i="0" u="none" strike="noStrike" baseline="0">
              <a:solidFill>
                <a:srgbClr val="000000"/>
              </a:solidFill>
              <a:latin typeface="Arial"/>
              <a:cs typeface="Arial"/>
            </a:rPr>
            <a:t>                                                                            </a:t>
          </a:r>
          <a:r>
            <a:rPr lang="sv-FI" sz="1400" b="1" i="0" u="none" strike="noStrike" baseline="0">
              <a:solidFill>
                <a:srgbClr val="000000"/>
              </a:solidFill>
              <a:latin typeface="Arial"/>
              <a:cs typeface="Arial"/>
            </a:rPr>
            <a:t>   ÄNGÖSUNDSLINJEN   2018</a:t>
          </a:r>
          <a:endParaRPr lang="sv-FI"/>
        </a:p>
      </xdr:txBody>
    </xdr:sp>
    <xdr:clientData/>
  </xdr:twoCellAnchor>
  <xdr:oneCellAnchor>
    <xdr:from>
      <xdr:col>1</xdr:col>
      <xdr:colOff>550334</xdr:colOff>
      <xdr:row>70</xdr:row>
      <xdr:rowOff>0</xdr:rowOff>
    </xdr:from>
    <xdr:ext cx="4368800" cy="558799"/>
    <xdr:sp macro="" textlink="">
      <xdr:nvSpPr>
        <xdr:cNvPr id="4" name="textruta 3">
          <a:extLst>
            <a:ext uri="{FF2B5EF4-FFF2-40B4-BE49-F238E27FC236}">
              <a16:creationId xmlns:a16="http://schemas.microsoft.com/office/drawing/2014/main" id="{AB5280EE-4610-4E16-AE27-D93F4E26A574}"/>
            </a:ext>
          </a:extLst>
        </xdr:cNvPr>
        <xdr:cNvSpPr txBox="1"/>
      </xdr:nvSpPr>
      <xdr:spPr>
        <a:xfrm>
          <a:off x="1283759" y="155514675"/>
          <a:ext cx="4368800" cy="558799"/>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sv-FI" sz="1600" b="1"/>
            <a:t>Ängösundslinjen</a:t>
          </a:r>
          <a:r>
            <a:rPr lang="sv-FI" sz="1600" b="1" baseline="0"/>
            <a:t> 2020</a:t>
          </a:r>
          <a:endParaRPr lang="sv-FI" sz="1600" b="1"/>
        </a:p>
      </xdr:txBody>
    </xdr:sp>
    <xdr:clientData/>
  </xdr:oneCellAnchor>
</xdr:wsDr>
</file>

<file path=xl/drawings/drawing16.xml><?xml version="1.0" encoding="utf-8"?>
<xdr:wsDr xmlns:xdr="http://schemas.openxmlformats.org/drawingml/2006/spreadsheetDrawing" xmlns:a="http://schemas.openxmlformats.org/drawingml/2006/main">
  <xdr:twoCellAnchor>
    <xdr:from>
      <xdr:col>0</xdr:col>
      <xdr:colOff>26958</xdr:colOff>
      <xdr:row>0</xdr:row>
      <xdr:rowOff>0</xdr:rowOff>
    </xdr:from>
    <xdr:to>
      <xdr:col>7</xdr:col>
      <xdr:colOff>30324</xdr:colOff>
      <xdr:row>3</xdr:row>
      <xdr:rowOff>133092</xdr:rowOff>
    </xdr:to>
    <xdr:sp macro="" textlink="">
      <xdr:nvSpPr>
        <xdr:cNvPr id="47" name="Text Box 51">
          <a:extLst>
            <a:ext uri="{FF2B5EF4-FFF2-40B4-BE49-F238E27FC236}">
              <a16:creationId xmlns:a16="http://schemas.microsoft.com/office/drawing/2014/main" id="{172985FC-315E-4A34-89C5-B284DE561548}"/>
            </a:ext>
          </a:extLst>
        </xdr:cNvPr>
        <xdr:cNvSpPr txBox="1">
          <a:spLocks noChangeArrowheads="1"/>
        </xdr:cNvSpPr>
      </xdr:nvSpPr>
      <xdr:spPr bwMode="auto">
        <a:xfrm>
          <a:off x="26958" y="143153561"/>
          <a:ext cx="7515536" cy="645286"/>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endParaRPr lang="sv-FI" sz="1000" b="0" i="0" u="none" strike="noStrike" baseline="0">
            <a:solidFill>
              <a:srgbClr val="000000"/>
            </a:solidFill>
            <a:latin typeface="Arial"/>
            <a:cs typeface="Arial"/>
          </a:endParaRPr>
        </a:p>
        <a:p>
          <a:pPr algn="l" rtl="0">
            <a:defRPr sz="1000"/>
          </a:pPr>
          <a:r>
            <a:rPr lang="sv-FI" sz="1000" b="0" i="0" u="none" strike="noStrike" baseline="0">
              <a:solidFill>
                <a:srgbClr val="000000"/>
              </a:solidFill>
              <a:latin typeface="Arial"/>
              <a:cs typeface="Arial"/>
            </a:rPr>
            <a:t>                                                    </a:t>
          </a:r>
          <a:r>
            <a:rPr lang="sv-FI" sz="1400" b="1" i="0" u="none" strike="noStrike" baseline="0">
              <a:solidFill>
                <a:srgbClr val="000000"/>
              </a:solidFill>
              <a:latin typeface="Arial"/>
              <a:cs typeface="Arial"/>
            </a:rPr>
            <a:t>  FÄRJTRAFIKEN PASSAGERARE OCH FORDON 2016 - 2017</a:t>
          </a:r>
        </a:p>
        <a:p>
          <a:pPr algn="l" rtl="0">
            <a:defRPr sz="1000"/>
          </a:pPr>
          <a:endParaRPr lang="sv-FI"/>
        </a:p>
      </xdr:txBody>
    </xdr:sp>
    <xdr:clientData/>
  </xdr:twoCellAnchor>
  <xdr:twoCellAnchor>
    <xdr:from>
      <xdr:col>0</xdr:col>
      <xdr:colOff>26958</xdr:colOff>
      <xdr:row>30</xdr:row>
      <xdr:rowOff>134787</xdr:rowOff>
    </xdr:from>
    <xdr:to>
      <xdr:col>7</xdr:col>
      <xdr:colOff>30324</xdr:colOff>
      <xdr:row>34</xdr:row>
      <xdr:rowOff>133092</xdr:rowOff>
    </xdr:to>
    <xdr:sp macro="" textlink="">
      <xdr:nvSpPr>
        <xdr:cNvPr id="48" name="Text Box 51">
          <a:extLst>
            <a:ext uri="{FF2B5EF4-FFF2-40B4-BE49-F238E27FC236}">
              <a16:creationId xmlns:a16="http://schemas.microsoft.com/office/drawing/2014/main" id="{3D92A51A-B623-4B26-869C-B1F6464CA0CE}"/>
            </a:ext>
          </a:extLst>
        </xdr:cNvPr>
        <xdr:cNvSpPr txBox="1">
          <a:spLocks noChangeArrowheads="1"/>
        </xdr:cNvSpPr>
      </xdr:nvSpPr>
      <xdr:spPr bwMode="auto">
        <a:xfrm>
          <a:off x="26958" y="146201561"/>
          <a:ext cx="7738385" cy="630908"/>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endParaRPr lang="sv-FI" sz="1000" b="0" i="0" u="none" strike="noStrike" baseline="0">
            <a:solidFill>
              <a:srgbClr val="000000"/>
            </a:solidFill>
            <a:latin typeface="Arial"/>
            <a:cs typeface="Arial"/>
          </a:endParaRPr>
        </a:p>
        <a:p>
          <a:pPr algn="l" rtl="0">
            <a:defRPr sz="1000"/>
          </a:pPr>
          <a:r>
            <a:rPr lang="sv-FI" sz="1000" b="0" i="0" u="none" strike="noStrike" baseline="0">
              <a:solidFill>
                <a:srgbClr val="000000"/>
              </a:solidFill>
              <a:latin typeface="Arial"/>
              <a:cs typeface="Arial"/>
            </a:rPr>
            <a:t>                                                    </a:t>
          </a:r>
          <a:r>
            <a:rPr lang="sv-FI" sz="1400" b="1" i="0" u="none" strike="noStrike" baseline="0">
              <a:solidFill>
                <a:srgbClr val="000000"/>
              </a:solidFill>
              <a:latin typeface="Arial"/>
              <a:cs typeface="Arial"/>
            </a:rPr>
            <a:t>  FÄRJTRAFIKEN PASSAGERARE OCH FORDON 2017 - 2018</a:t>
          </a:r>
        </a:p>
        <a:p>
          <a:pPr algn="l" rtl="0">
            <a:defRPr sz="1000"/>
          </a:pPr>
          <a:endParaRPr lang="sv-FI" sz="1400" b="1" i="0" u="none" strike="noStrike" baseline="0">
            <a:solidFill>
              <a:srgbClr val="000000"/>
            </a:solidFill>
            <a:latin typeface="Arial"/>
            <a:cs typeface="Arial"/>
          </a:endParaRPr>
        </a:p>
        <a:p>
          <a:pPr algn="l" rtl="0">
            <a:defRPr sz="1000"/>
          </a:pPr>
          <a:endParaRPr lang="sv-FI" sz="1400" b="1" i="0" u="none" strike="noStrike" baseline="0">
            <a:solidFill>
              <a:srgbClr val="000000"/>
            </a:solidFill>
            <a:latin typeface="Arial"/>
            <a:cs typeface="Arial"/>
          </a:endParaRPr>
        </a:p>
        <a:p>
          <a:pPr algn="l" rtl="0">
            <a:defRPr sz="1000"/>
          </a:pPr>
          <a:endParaRPr lang="sv-FI"/>
        </a:p>
      </xdr:txBody>
    </xdr:sp>
    <xdr:clientData/>
  </xdr:twoCellAnchor>
  <xdr:twoCellAnchor>
    <xdr:from>
      <xdr:col>0</xdr:col>
      <xdr:colOff>265980</xdr:colOff>
      <xdr:row>54</xdr:row>
      <xdr:rowOff>79075</xdr:rowOff>
    </xdr:from>
    <xdr:to>
      <xdr:col>6</xdr:col>
      <xdr:colOff>884206</xdr:colOff>
      <xdr:row>58</xdr:row>
      <xdr:rowOff>21566</xdr:rowOff>
    </xdr:to>
    <xdr:sp macro="" textlink="">
      <xdr:nvSpPr>
        <xdr:cNvPr id="5" name="textruta 4">
          <a:extLst>
            <a:ext uri="{FF2B5EF4-FFF2-40B4-BE49-F238E27FC236}">
              <a16:creationId xmlns:a16="http://schemas.microsoft.com/office/drawing/2014/main" id="{9FD5E558-4D32-47E4-9A2B-B3F9756A7A94}"/>
            </a:ext>
          </a:extLst>
        </xdr:cNvPr>
        <xdr:cNvSpPr txBox="1"/>
      </xdr:nvSpPr>
      <xdr:spPr>
        <a:xfrm>
          <a:off x="265980" y="152002825"/>
          <a:ext cx="7822301" cy="5901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sv-FI" sz="1100"/>
        </a:p>
        <a:p>
          <a:pPr algn="ctr"/>
          <a:r>
            <a:rPr lang="sv-FI" sz="1600" b="1"/>
            <a:t>FÄRJTRAFIKEN</a:t>
          </a:r>
          <a:r>
            <a:rPr lang="sv-FI" sz="1600" b="1" baseline="0"/>
            <a:t> PASSAGERARE OCH FORDON 2018-2019</a:t>
          </a:r>
        </a:p>
        <a:p>
          <a:endParaRPr lang="sv-FI" sz="1100"/>
        </a:p>
      </xdr:txBody>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6</xdr:col>
      <xdr:colOff>285750</xdr:colOff>
      <xdr:row>0</xdr:row>
      <xdr:rowOff>0</xdr:rowOff>
    </xdr:from>
    <xdr:to>
      <xdr:col>6</xdr:col>
      <xdr:colOff>361950</xdr:colOff>
      <xdr:row>1</xdr:row>
      <xdr:rowOff>38100</xdr:rowOff>
    </xdr:to>
    <xdr:sp macro="" textlink="">
      <xdr:nvSpPr>
        <xdr:cNvPr id="42330149" name="Text Box 67">
          <a:extLst>
            <a:ext uri="{FF2B5EF4-FFF2-40B4-BE49-F238E27FC236}">
              <a16:creationId xmlns:a16="http://schemas.microsoft.com/office/drawing/2014/main" id="{00000000-0008-0000-1500-000025E88502}"/>
            </a:ext>
          </a:extLst>
        </xdr:cNvPr>
        <xdr:cNvSpPr txBox="1">
          <a:spLocks noChangeArrowheads="1"/>
        </xdr:cNvSpPr>
      </xdr:nvSpPr>
      <xdr:spPr bwMode="auto">
        <a:xfrm>
          <a:off x="5581650" y="99822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0</xdr:row>
      <xdr:rowOff>0</xdr:rowOff>
    </xdr:from>
    <xdr:to>
      <xdr:col>11</xdr:col>
      <xdr:colOff>1681</xdr:colOff>
      <xdr:row>2</xdr:row>
      <xdr:rowOff>140104</xdr:rowOff>
    </xdr:to>
    <xdr:sp macro="" textlink="">
      <xdr:nvSpPr>
        <xdr:cNvPr id="44" name="Text Box 71">
          <a:extLst>
            <a:ext uri="{FF2B5EF4-FFF2-40B4-BE49-F238E27FC236}">
              <a16:creationId xmlns:a16="http://schemas.microsoft.com/office/drawing/2014/main" id="{37457323-E343-4263-8A72-019AC5479ED2}"/>
            </a:ext>
          </a:extLst>
        </xdr:cNvPr>
        <xdr:cNvSpPr txBox="1">
          <a:spLocks noChangeArrowheads="1"/>
        </xdr:cNvSpPr>
      </xdr:nvSpPr>
      <xdr:spPr bwMode="auto">
        <a:xfrm>
          <a:off x="0" y="135045450"/>
          <a:ext cx="9269506" cy="463954"/>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endParaRPr lang="sv-FI" sz="1000" b="0" i="0" u="none" strike="noStrike" baseline="0">
            <a:solidFill>
              <a:srgbClr val="000000"/>
            </a:solidFill>
            <a:latin typeface="Arial"/>
            <a:cs typeface="Arial"/>
          </a:endParaRPr>
        </a:p>
        <a:p>
          <a:pPr algn="l" rtl="0">
            <a:defRPr sz="1000"/>
          </a:pPr>
          <a:r>
            <a:rPr lang="sv-FI" sz="1000" b="0" i="0" u="none" strike="noStrike" baseline="0">
              <a:solidFill>
                <a:srgbClr val="000000"/>
              </a:solidFill>
              <a:latin typeface="Arial"/>
              <a:cs typeface="Arial"/>
            </a:rPr>
            <a:t>                                         </a:t>
          </a:r>
          <a:r>
            <a:rPr lang="sv-FI" sz="1400" b="1" i="0" u="none" strike="noStrike" baseline="0">
              <a:solidFill>
                <a:srgbClr val="000000"/>
              </a:solidFill>
              <a:latin typeface="Arial"/>
              <a:cs typeface="Arial"/>
            </a:rPr>
            <a:t>   TRANSPORTERADE FORDON ENLIGT OLIKA TYPER 2017</a:t>
          </a:r>
        </a:p>
        <a:p>
          <a:pPr algn="l" rtl="0">
            <a:defRPr sz="1000"/>
          </a:pPr>
          <a:endParaRPr lang="sv-FI"/>
        </a:p>
      </xdr:txBody>
    </xdr:sp>
    <xdr:clientData/>
  </xdr:twoCellAnchor>
  <xdr:twoCellAnchor>
    <xdr:from>
      <xdr:col>0</xdr:col>
      <xdr:colOff>0</xdr:colOff>
      <xdr:row>19</xdr:row>
      <xdr:rowOff>0</xdr:rowOff>
    </xdr:from>
    <xdr:to>
      <xdr:col>11</xdr:col>
      <xdr:colOff>1681</xdr:colOff>
      <xdr:row>21</xdr:row>
      <xdr:rowOff>140104</xdr:rowOff>
    </xdr:to>
    <xdr:sp macro="" textlink="">
      <xdr:nvSpPr>
        <xdr:cNvPr id="45" name="Text Box 71">
          <a:extLst>
            <a:ext uri="{FF2B5EF4-FFF2-40B4-BE49-F238E27FC236}">
              <a16:creationId xmlns:a16="http://schemas.microsoft.com/office/drawing/2014/main" id="{4ECC2893-0FB5-480D-B21D-F030A59B8D1D}"/>
            </a:ext>
          </a:extLst>
        </xdr:cNvPr>
        <xdr:cNvSpPr txBox="1">
          <a:spLocks noChangeArrowheads="1"/>
        </xdr:cNvSpPr>
      </xdr:nvSpPr>
      <xdr:spPr bwMode="auto">
        <a:xfrm>
          <a:off x="0" y="136093200"/>
          <a:ext cx="9541921" cy="460144"/>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endParaRPr lang="sv-FI" sz="1000" b="0" i="0" u="none" strike="noStrike" baseline="0">
            <a:solidFill>
              <a:srgbClr val="000000"/>
            </a:solidFill>
            <a:latin typeface="Arial"/>
            <a:cs typeface="Arial"/>
          </a:endParaRPr>
        </a:p>
        <a:p>
          <a:pPr algn="l" rtl="0">
            <a:defRPr sz="1000"/>
          </a:pPr>
          <a:r>
            <a:rPr lang="sv-FI" sz="1000" b="0" i="0" u="none" strike="noStrike" baseline="0">
              <a:solidFill>
                <a:srgbClr val="000000"/>
              </a:solidFill>
              <a:latin typeface="Arial"/>
              <a:cs typeface="Arial"/>
            </a:rPr>
            <a:t>                                         </a:t>
          </a:r>
          <a:r>
            <a:rPr lang="sv-FI" sz="1400" b="1" i="0" u="none" strike="noStrike" baseline="0">
              <a:solidFill>
                <a:srgbClr val="000000"/>
              </a:solidFill>
              <a:latin typeface="Arial"/>
              <a:cs typeface="Arial"/>
            </a:rPr>
            <a:t>   TRANSPORTERADE FORDON ENLIGT OLIKA TYPER 2018</a:t>
          </a:r>
        </a:p>
        <a:p>
          <a:pPr algn="l" rtl="0">
            <a:defRPr sz="1000"/>
          </a:pPr>
          <a:endParaRPr lang="sv-FI"/>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19050</xdr:colOff>
      <xdr:row>0</xdr:row>
      <xdr:rowOff>0</xdr:rowOff>
    </xdr:from>
    <xdr:to>
      <xdr:col>0</xdr:col>
      <xdr:colOff>28575</xdr:colOff>
      <xdr:row>0</xdr:row>
      <xdr:rowOff>0</xdr:rowOff>
    </xdr:to>
    <xdr:sp macro="" textlink="">
      <xdr:nvSpPr>
        <xdr:cNvPr id="40744030" name="Text 1">
          <a:extLst>
            <a:ext uri="{FF2B5EF4-FFF2-40B4-BE49-F238E27FC236}">
              <a16:creationId xmlns:a16="http://schemas.microsoft.com/office/drawing/2014/main" id="{00000000-0008-0000-1600-00005EB46D02}"/>
            </a:ext>
          </a:extLst>
        </xdr:cNvPr>
        <xdr:cNvSpPr txBox="1">
          <a:spLocks noChangeArrowheads="1"/>
        </xdr:cNvSpPr>
      </xdr:nvSpPr>
      <xdr:spPr bwMode="auto">
        <a:xfrm>
          <a:off x="19050" y="0"/>
          <a:ext cx="9525" cy="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1</xdr:row>
      <xdr:rowOff>0</xdr:rowOff>
    </xdr:from>
    <xdr:to>
      <xdr:col>10</xdr:col>
      <xdr:colOff>763558</xdr:colOff>
      <xdr:row>4</xdr:row>
      <xdr:rowOff>156383</xdr:rowOff>
    </xdr:to>
    <xdr:sp macro="" textlink="">
      <xdr:nvSpPr>
        <xdr:cNvPr id="27" name="Text Box 21">
          <a:extLst>
            <a:ext uri="{FF2B5EF4-FFF2-40B4-BE49-F238E27FC236}">
              <a16:creationId xmlns:a16="http://schemas.microsoft.com/office/drawing/2014/main" id="{2E2C46DB-E9DD-47B7-A51D-606895FE5FA2}"/>
            </a:ext>
          </a:extLst>
        </xdr:cNvPr>
        <xdr:cNvSpPr txBox="1">
          <a:spLocks noChangeArrowheads="1"/>
        </xdr:cNvSpPr>
      </xdr:nvSpPr>
      <xdr:spPr bwMode="auto">
        <a:xfrm>
          <a:off x="0" y="126215775"/>
          <a:ext cx="8678833" cy="642158"/>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endParaRPr lang="sv-FI" sz="1000" b="0" i="0" u="none" strike="noStrike" baseline="0">
            <a:solidFill>
              <a:srgbClr val="000000"/>
            </a:solidFill>
            <a:latin typeface="Arial"/>
            <a:cs typeface="Arial"/>
          </a:endParaRPr>
        </a:p>
        <a:p>
          <a:pPr algn="l" rtl="0">
            <a:defRPr sz="1000"/>
          </a:pPr>
          <a:r>
            <a:rPr lang="sv-FI" sz="1000" b="0" i="0" u="none" strike="noStrike" baseline="0">
              <a:solidFill>
                <a:srgbClr val="000000"/>
              </a:solidFill>
              <a:latin typeface="Arial"/>
              <a:cs typeface="Arial"/>
            </a:rPr>
            <a:t>                                                 </a:t>
          </a:r>
          <a:r>
            <a:rPr lang="sv-FI" sz="1400" b="1" i="0" u="none" strike="noStrike" baseline="0">
              <a:solidFill>
                <a:srgbClr val="000000"/>
              </a:solidFill>
              <a:latin typeface="Arial"/>
              <a:cs typeface="Arial"/>
            </a:rPr>
            <a:t>      INRESANDE TILL ÅLAND VIA GALTBY OCH OSNÄS 2017</a:t>
          </a:r>
        </a:p>
        <a:p>
          <a:pPr algn="l" rtl="0">
            <a:defRPr sz="1000"/>
          </a:pPr>
          <a:endParaRPr lang="sv-FI"/>
        </a:p>
      </xdr:txBody>
    </xdr:sp>
    <xdr:clientData/>
  </xdr:twoCellAnchor>
  <xdr:twoCellAnchor>
    <xdr:from>
      <xdr:col>0</xdr:col>
      <xdr:colOff>0</xdr:colOff>
      <xdr:row>28</xdr:row>
      <xdr:rowOff>0</xdr:rowOff>
    </xdr:from>
    <xdr:to>
      <xdr:col>10</xdr:col>
      <xdr:colOff>763558</xdr:colOff>
      <xdr:row>31</xdr:row>
      <xdr:rowOff>156383</xdr:rowOff>
    </xdr:to>
    <xdr:sp macro="" textlink="">
      <xdr:nvSpPr>
        <xdr:cNvPr id="28" name="Text Box 21">
          <a:extLst>
            <a:ext uri="{FF2B5EF4-FFF2-40B4-BE49-F238E27FC236}">
              <a16:creationId xmlns:a16="http://schemas.microsoft.com/office/drawing/2014/main" id="{ACB14E4D-D8F1-4D2B-B645-60E5554ED860}"/>
            </a:ext>
          </a:extLst>
        </xdr:cNvPr>
        <xdr:cNvSpPr txBox="1">
          <a:spLocks noChangeArrowheads="1"/>
        </xdr:cNvSpPr>
      </xdr:nvSpPr>
      <xdr:spPr bwMode="auto">
        <a:xfrm>
          <a:off x="0" y="125310900"/>
          <a:ext cx="8894098" cy="636443"/>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endParaRPr lang="sv-FI" sz="1000" b="0" i="0" u="none" strike="noStrike" baseline="0">
            <a:solidFill>
              <a:srgbClr val="000000"/>
            </a:solidFill>
            <a:latin typeface="Arial"/>
            <a:cs typeface="Arial"/>
          </a:endParaRPr>
        </a:p>
        <a:p>
          <a:pPr algn="l" rtl="0">
            <a:defRPr sz="1000"/>
          </a:pPr>
          <a:r>
            <a:rPr lang="sv-FI" sz="1000" b="0" i="0" u="none" strike="noStrike" baseline="0">
              <a:solidFill>
                <a:srgbClr val="000000"/>
              </a:solidFill>
              <a:latin typeface="Arial"/>
              <a:cs typeface="Arial"/>
            </a:rPr>
            <a:t>                                                 </a:t>
          </a:r>
          <a:r>
            <a:rPr lang="sv-FI" sz="1400" b="1" i="0" u="none" strike="noStrike" baseline="0">
              <a:solidFill>
                <a:srgbClr val="000000"/>
              </a:solidFill>
              <a:latin typeface="Arial"/>
              <a:cs typeface="Arial"/>
            </a:rPr>
            <a:t>      INRESANDE TILL ÅLAND VIA GALTBY OCH OSNÄS 2018</a:t>
          </a:r>
        </a:p>
        <a:p>
          <a:pPr algn="l" rtl="0">
            <a:defRPr sz="1000"/>
          </a:pPr>
          <a:endParaRPr lang="sv-FI"/>
        </a:p>
      </xdr:txBody>
    </xdr:sp>
    <xdr:clientData/>
  </xdr:twoCellAnchor>
  <xdr:twoCellAnchor>
    <xdr:from>
      <xdr:col>0</xdr:col>
      <xdr:colOff>9525</xdr:colOff>
      <xdr:row>28</xdr:row>
      <xdr:rowOff>9525</xdr:rowOff>
    </xdr:from>
    <xdr:to>
      <xdr:col>11</xdr:col>
      <xdr:colOff>0</xdr:colOff>
      <xdr:row>31</xdr:row>
      <xdr:rowOff>161925</xdr:rowOff>
    </xdr:to>
    <xdr:sp macro="" textlink="">
      <xdr:nvSpPr>
        <xdr:cNvPr id="29" name="Text Box 21">
          <a:extLst>
            <a:ext uri="{FF2B5EF4-FFF2-40B4-BE49-F238E27FC236}">
              <a16:creationId xmlns:a16="http://schemas.microsoft.com/office/drawing/2014/main" id="{649DF561-C701-4033-81EB-574E361A1940}"/>
            </a:ext>
          </a:extLst>
        </xdr:cNvPr>
        <xdr:cNvSpPr txBox="1">
          <a:spLocks noChangeArrowheads="1"/>
        </xdr:cNvSpPr>
      </xdr:nvSpPr>
      <xdr:spPr bwMode="auto">
        <a:xfrm>
          <a:off x="9525" y="923925"/>
          <a:ext cx="7534275" cy="70104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endParaRPr lang="sv-FI" sz="1000" b="0" i="0" u="none" strike="noStrike" baseline="0">
            <a:solidFill>
              <a:srgbClr val="000000"/>
            </a:solidFill>
            <a:latin typeface="Arial"/>
            <a:cs typeface="Arial"/>
          </a:endParaRPr>
        </a:p>
        <a:p>
          <a:pPr algn="l" rtl="0">
            <a:defRPr sz="1000"/>
          </a:pPr>
          <a:r>
            <a:rPr lang="sv-FI" sz="1000" b="0" i="0" u="none" strike="noStrike" baseline="0">
              <a:solidFill>
                <a:srgbClr val="000000"/>
              </a:solidFill>
              <a:latin typeface="Arial"/>
              <a:cs typeface="Arial"/>
            </a:rPr>
            <a:t>                                                 </a:t>
          </a:r>
          <a:r>
            <a:rPr lang="sv-FI" sz="1400" b="1" i="0" u="none" strike="noStrike" baseline="0">
              <a:solidFill>
                <a:srgbClr val="000000"/>
              </a:solidFill>
              <a:latin typeface="Arial"/>
              <a:cs typeface="Arial"/>
            </a:rPr>
            <a:t>      INRESANDE TILL ÅLAND VIA GALTBY OCH OSNÄS 2018</a:t>
          </a:r>
          <a:endParaRPr lang="sv-FI"/>
        </a:p>
      </xdr:txBody>
    </xdr:sp>
    <xdr:clientData/>
  </xdr:twoCellAnchor>
  <xdr:oneCellAnchor>
    <xdr:from>
      <xdr:col>0</xdr:col>
      <xdr:colOff>381000</xdr:colOff>
      <xdr:row>53</xdr:row>
      <xdr:rowOff>0</xdr:rowOff>
    </xdr:from>
    <xdr:ext cx="7871460" cy="723900"/>
    <xdr:sp macro="" textlink="">
      <xdr:nvSpPr>
        <xdr:cNvPr id="7" name="textruta 6">
          <a:extLst>
            <a:ext uri="{FF2B5EF4-FFF2-40B4-BE49-F238E27FC236}">
              <a16:creationId xmlns:a16="http://schemas.microsoft.com/office/drawing/2014/main" id="{8BA2FFBC-C75F-4994-A0DA-3DFF3C759FC1}"/>
            </a:ext>
          </a:extLst>
        </xdr:cNvPr>
        <xdr:cNvSpPr txBox="1"/>
      </xdr:nvSpPr>
      <xdr:spPr>
        <a:xfrm>
          <a:off x="381000" y="134254875"/>
          <a:ext cx="7871460" cy="7239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sv-FI" sz="1400" b="1" i="0" u="none" strike="noStrike" baseline="0">
              <a:solidFill>
                <a:srgbClr val="000000"/>
              </a:solidFill>
              <a:latin typeface="Arial"/>
              <a:ea typeface="+mn-ea"/>
              <a:cs typeface="Arial"/>
            </a:rPr>
            <a:t>INRESANDE TILL ÅLAND VIA GALTBY OCH OSNÄS 2019</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34</xdr:row>
      <xdr:rowOff>0</xdr:rowOff>
    </xdr:from>
    <xdr:to>
      <xdr:col>9</xdr:col>
      <xdr:colOff>647181</xdr:colOff>
      <xdr:row>38</xdr:row>
      <xdr:rowOff>16625</xdr:rowOff>
    </xdr:to>
    <xdr:sp macro="" textlink="">
      <xdr:nvSpPr>
        <xdr:cNvPr id="3" name="Text Box 92">
          <a:extLst>
            <a:ext uri="{FF2B5EF4-FFF2-40B4-BE49-F238E27FC236}">
              <a16:creationId xmlns:a16="http://schemas.microsoft.com/office/drawing/2014/main" id="{CA14E7DE-543D-43A6-9A95-E54AB07C5D75}"/>
            </a:ext>
          </a:extLst>
        </xdr:cNvPr>
        <xdr:cNvSpPr txBox="1">
          <a:spLocks noChangeArrowheads="1"/>
        </xdr:cNvSpPr>
      </xdr:nvSpPr>
      <xdr:spPr bwMode="auto">
        <a:xfrm>
          <a:off x="0" y="109209840"/>
          <a:ext cx="6636501" cy="65670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endParaRPr lang="sv-FI" sz="1000" b="0" i="0" u="none" strike="noStrike" baseline="0">
            <a:solidFill>
              <a:srgbClr val="000000"/>
            </a:solidFill>
            <a:latin typeface="Arial"/>
            <a:cs typeface="Arial"/>
          </a:endParaRPr>
        </a:p>
        <a:p>
          <a:pPr algn="l" rtl="0">
            <a:defRPr sz="1000"/>
          </a:pPr>
          <a:r>
            <a:rPr lang="sv-FI" sz="1000" b="0" i="0" u="none" strike="noStrike" baseline="0">
              <a:solidFill>
                <a:srgbClr val="000000"/>
              </a:solidFill>
              <a:latin typeface="Arial"/>
              <a:cs typeface="Arial"/>
            </a:rPr>
            <a:t>                                                     </a:t>
          </a:r>
          <a:r>
            <a:rPr lang="sv-FI" sz="1400" b="1" i="0" u="none" strike="noStrike" baseline="0">
              <a:solidFill>
                <a:srgbClr val="000000"/>
              </a:solidFill>
              <a:latin typeface="Arial"/>
              <a:cs typeface="Arial"/>
            </a:rPr>
            <a:t>  BJÖRKÖLINJEN   2018</a:t>
          </a:r>
        </a:p>
        <a:p>
          <a:pPr algn="l" rtl="0">
            <a:defRPr sz="1000"/>
          </a:pPr>
          <a:endParaRPr lang="sv-FI" sz="1400" b="1" i="0" u="none" strike="noStrike" baseline="0">
            <a:solidFill>
              <a:srgbClr val="000000"/>
            </a:solidFill>
            <a:latin typeface="Arial"/>
            <a:cs typeface="Arial"/>
          </a:endParaRPr>
        </a:p>
        <a:p>
          <a:pPr algn="l" rtl="0">
            <a:defRPr sz="1000"/>
          </a:pPr>
          <a:endParaRPr lang="sv-FI"/>
        </a:p>
      </xdr:txBody>
    </xdr:sp>
    <xdr:clientData/>
  </xdr:twoCellAnchor>
  <xdr:twoCellAnchor>
    <xdr:from>
      <xdr:col>1</xdr:col>
      <xdr:colOff>0</xdr:colOff>
      <xdr:row>0</xdr:row>
      <xdr:rowOff>124693</xdr:rowOff>
    </xdr:from>
    <xdr:to>
      <xdr:col>10</xdr:col>
      <xdr:colOff>609081</xdr:colOff>
      <xdr:row>4</xdr:row>
      <xdr:rowOff>114301</xdr:rowOff>
    </xdr:to>
    <xdr:sp macro="" textlink="">
      <xdr:nvSpPr>
        <xdr:cNvPr id="4" name="Text Box 92">
          <a:extLst>
            <a:ext uri="{FF2B5EF4-FFF2-40B4-BE49-F238E27FC236}">
              <a16:creationId xmlns:a16="http://schemas.microsoft.com/office/drawing/2014/main" id="{9DA75E37-77F0-488D-8FE9-F194D8360BBC}"/>
            </a:ext>
          </a:extLst>
        </xdr:cNvPr>
        <xdr:cNvSpPr txBox="1">
          <a:spLocks noChangeArrowheads="1"/>
        </xdr:cNvSpPr>
      </xdr:nvSpPr>
      <xdr:spPr bwMode="auto">
        <a:xfrm>
          <a:off x="609600" y="124693"/>
          <a:ext cx="6095481" cy="660168"/>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endParaRPr lang="sv-FI" sz="1000" b="0" i="0" u="none" strike="noStrike" baseline="0">
            <a:solidFill>
              <a:srgbClr val="000000"/>
            </a:solidFill>
            <a:latin typeface="Arial"/>
            <a:cs typeface="Arial"/>
          </a:endParaRPr>
        </a:p>
        <a:p>
          <a:pPr algn="l" rtl="0">
            <a:defRPr sz="1000"/>
          </a:pPr>
          <a:r>
            <a:rPr lang="sv-FI" sz="1000" b="0" i="0" u="none" strike="noStrike" baseline="0">
              <a:solidFill>
                <a:srgbClr val="000000"/>
              </a:solidFill>
              <a:latin typeface="Arial"/>
              <a:cs typeface="Arial"/>
            </a:rPr>
            <a:t>                                                     </a:t>
          </a:r>
          <a:r>
            <a:rPr lang="sv-FI" sz="1400" b="1" i="0" u="none" strike="noStrike" baseline="0">
              <a:solidFill>
                <a:srgbClr val="000000"/>
              </a:solidFill>
              <a:latin typeface="Arial"/>
              <a:cs typeface="Arial"/>
            </a:rPr>
            <a:t>  BJÖRKÖLINJEN   2017</a:t>
          </a:r>
        </a:p>
        <a:p>
          <a:pPr algn="l" rtl="0">
            <a:defRPr sz="1000"/>
          </a:pPr>
          <a:endParaRPr lang="sv-FI"/>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116379</xdr:rowOff>
    </xdr:from>
    <xdr:to>
      <xdr:col>13</xdr:col>
      <xdr:colOff>588992</xdr:colOff>
      <xdr:row>5</xdr:row>
      <xdr:rowOff>133005</xdr:rowOff>
    </xdr:to>
    <xdr:sp macro="" textlink="">
      <xdr:nvSpPr>
        <xdr:cNvPr id="62" name="Text Box 89">
          <a:extLst>
            <a:ext uri="{FF2B5EF4-FFF2-40B4-BE49-F238E27FC236}">
              <a16:creationId xmlns:a16="http://schemas.microsoft.com/office/drawing/2014/main" id="{00000000-0008-0000-0200-00003E000000}"/>
            </a:ext>
          </a:extLst>
        </xdr:cNvPr>
        <xdr:cNvSpPr txBox="1">
          <a:spLocks noChangeArrowheads="1"/>
        </xdr:cNvSpPr>
      </xdr:nvSpPr>
      <xdr:spPr bwMode="auto">
        <a:xfrm>
          <a:off x="0" y="96710270"/>
          <a:ext cx="8112010" cy="648393"/>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endParaRPr lang="sv-FI" sz="1000" b="0" i="0" u="none" strike="noStrike" baseline="0">
            <a:solidFill>
              <a:srgbClr val="000000"/>
            </a:solidFill>
            <a:latin typeface="Arial"/>
            <a:cs typeface="Arial"/>
          </a:endParaRPr>
        </a:p>
        <a:p>
          <a:pPr algn="l" rtl="0">
            <a:defRPr sz="1000"/>
          </a:pPr>
          <a:r>
            <a:rPr lang="sv-FI" sz="1000" b="0" i="0" u="none" strike="noStrike" baseline="0">
              <a:solidFill>
                <a:srgbClr val="000000"/>
              </a:solidFill>
              <a:latin typeface="Arial"/>
              <a:cs typeface="Arial"/>
            </a:rPr>
            <a:t>                                          </a:t>
          </a:r>
          <a:r>
            <a:rPr lang="sv-FI" sz="1000" b="1" i="0" u="none" strike="noStrike" baseline="0">
              <a:solidFill>
                <a:srgbClr val="000000"/>
              </a:solidFill>
              <a:latin typeface="Arial"/>
              <a:cs typeface="Arial"/>
            </a:rPr>
            <a:t>  M/S VIGGEN                             </a:t>
          </a:r>
          <a:r>
            <a:rPr lang="sv-FI" sz="1400" b="1" i="0" u="none" strike="noStrike" baseline="0">
              <a:solidFill>
                <a:srgbClr val="000000"/>
              </a:solidFill>
              <a:latin typeface="Arial"/>
              <a:cs typeface="Arial"/>
            </a:rPr>
            <a:t> BRÄNDÖ-OSNÄSLINJEN   2017</a:t>
          </a:r>
        </a:p>
        <a:p>
          <a:pPr algn="l" rtl="0">
            <a:defRPr sz="1000"/>
          </a:pPr>
          <a:endParaRPr lang="sv-FI"/>
        </a:p>
      </xdr:txBody>
    </xdr:sp>
    <xdr:clientData/>
  </xdr:twoCellAnchor>
  <xdr:twoCellAnchor>
    <xdr:from>
      <xdr:col>0</xdr:col>
      <xdr:colOff>0</xdr:colOff>
      <xdr:row>27</xdr:row>
      <xdr:rowOff>0</xdr:rowOff>
    </xdr:from>
    <xdr:to>
      <xdr:col>13</xdr:col>
      <xdr:colOff>588992</xdr:colOff>
      <xdr:row>31</xdr:row>
      <xdr:rowOff>16626</xdr:rowOff>
    </xdr:to>
    <xdr:sp macro="" textlink="">
      <xdr:nvSpPr>
        <xdr:cNvPr id="67" name="Text Box 89">
          <a:extLst>
            <a:ext uri="{FF2B5EF4-FFF2-40B4-BE49-F238E27FC236}">
              <a16:creationId xmlns:a16="http://schemas.microsoft.com/office/drawing/2014/main" id="{F1A2AF2F-D2AD-487E-AB90-1AB72070F8C5}"/>
            </a:ext>
          </a:extLst>
        </xdr:cNvPr>
        <xdr:cNvSpPr txBox="1">
          <a:spLocks noChangeArrowheads="1"/>
        </xdr:cNvSpPr>
      </xdr:nvSpPr>
      <xdr:spPr bwMode="auto">
        <a:xfrm>
          <a:off x="0" y="107384850"/>
          <a:ext cx="8113742" cy="664326"/>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endParaRPr lang="sv-FI" sz="1000" b="0" i="0" u="none" strike="noStrike" baseline="0">
            <a:solidFill>
              <a:srgbClr val="000000"/>
            </a:solidFill>
            <a:latin typeface="Arial"/>
            <a:cs typeface="Arial"/>
          </a:endParaRPr>
        </a:p>
        <a:p>
          <a:pPr algn="l" rtl="0">
            <a:defRPr sz="1000"/>
          </a:pPr>
          <a:r>
            <a:rPr lang="sv-FI" sz="1000" b="0" i="0" u="none" strike="noStrike" baseline="0">
              <a:solidFill>
                <a:srgbClr val="000000"/>
              </a:solidFill>
              <a:latin typeface="Arial"/>
              <a:cs typeface="Arial"/>
            </a:rPr>
            <a:t>                                          </a:t>
          </a:r>
          <a:r>
            <a:rPr lang="sv-FI" sz="1000" b="1" i="0" u="none" strike="noStrike" baseline="0">
              <a:solidFill>
                <a:srgbClr val="000000"/>
              </a:solidFill>
              <a:latin typeface="Arial"/>
              <a:cs typeface="Arial"/>
            </a:rPr>
            <a:t>  M/S VIGGEN                             </a:t>
          </a:r>
          <a:r>
            <a:rPr lang="sv-FI" sz="1400" b="1" i="0" u="none" strike="noStrike" baseline="0">
              <a:solidFill>
                <a:srgbClr val="000000"/>
              </a:solidFill>
              <a:latin typeface="Arial"/>
              <a:cs typeface="Arial"/>
            </a:rPr>
            <a:t> BRÄNDÖ-OSNÄSLINJEN   2018</a:t>
          </a:r>
        </a:p>
        <a:p>
          <a:pPr algn="l" rtl="0">
            <a:defRPr sz="1000"/>
          </a:pPr>
          <a:endParaRPr lang="sv-FI" sz="1400" b="1" i="0" u="none" strike="noStrike" baseline="0">
            <a:solidFill>
              <a:srgbClr val="000000"/>
            </a:solidFill>
            <a:latin typeface="Arial"/>
            <a:cs typeface="Arial"/>
          </a:endParaRPr>
        </a:p>
        <a:p>
          <a:pPr algn="l" rtl="0">
            <a:defRPr sz="1000"/>
          </a:pPr>
          <a:endParaRPr lang="sv-FI"/>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116379</xdr:rowOff>
    </xdr:from>
    <xdr:to>
      <xdr:col>9</xdr:col>
      <xdr:colOff>647181</xdr:colOff>
      <xdr:row>5</xdr:row>
      <xdr:rowOff>123479</xdr:rowOff>
    </xdr:to>
    <xdr:sp macro="" textlink="">
      <xdr:nvSpPr>
        <xdr:cNvPr id="2" name="Text Box 85">
          <a:extLst>
            <a:ext uri="{FF2B5EF4-FFF2-40B4-BE49-F238E27FC236}">
              <a16:creationId xmlns:a16="http://schemas.microsoft.com/office/drawing/2014/main" id="{3EB3CFFA-5AA6-4B14-B0C6-D778B73547B7}"/>
            </a:ext>
          </a:extLst>
        </xdr:cNvPr>
        <xdr:cNvSpPr txBox="1">
          <a:spLocks noChangeArrowheads="1"/>
        </xdr:cNvSpPr>
      </xdr:nvSpPr>
      <xdr:spPr bwMode="auto">
        <a:xfrm>
          <a:off x="0" y="101005179"/>
          <a:ext cx="6567921" cy="64718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endParaRPr lang="sv-FI" sz="1000" b="0" i="0" u="none" strike="noStrike" baseline="0">
            <a:solidFill>
              <a:srgbClr val="000000"/>
            </a:solidFill>
            <a:latin typeface="Arial"/>
            <a:cs typeface="Arial"/>
          </a:endParaRPr>
        </a:p>
        <a:p>
          <a:pPr algn="l" rtl="0">
            <a:defRPr sz="1000"/>
          </a:pPr>
          <a:r>
            <a:rPr lang="sv-FI" sz="1000" b="0" i="0" u="none" strike="noStrike" baseline="0">
              <a:solidFill>
                <a:srgbClr val="000000"/>
              </a:solidFill>
              <a:latin typeface="Arial"/>
              <a:cs typeface="Arial"/>
            </a:rPr>
            <a:t>                                                              </a:t>
          </a:r>
          <a:r>
            <a:rPr lang="sv-FI" sz="1400" b="1" i="0" u="none" strike="noStrike" baseline="0">
              <a:solidFill>
                <a:srgbClr val="000000"/>
              </a:solidFill>
              <a:latin typeface="Arial"/>
              <a:cs typeface="Arial"/>
            </a:rPr>
            <a:t>  EMBARSUNDSLINJEN   2017</a:t>
          </a:r>
        </a:p>
        <a:p>
          <a:pPr algn="l" rtl="0">
            <a:defRPr sz="1000"/>
          </a:pPr>
          <a:endParaRPr lang="sv-FI"/>
        </a:p>
      </xdr:txBody>
    </xdr:sp>
    <xdr:clientData/>
  </xdr:twoCellAnchor>
  <xdr:twoCellAnchor>
    <xdr:from>
      <xdr:col>0</xdr:col>
      <xdr:colOff>0</xdr:colOff>
      <xdr:row>26</xdr:row>
      <xdr:rowOff>0</xdr:rowOff>
    </xdr:from>
    <xdr:to>
      <xdr:col>9</xdr:col>
      <xdr:colOff>647181</xdr:colOff>
      <xdr:row>30</xdr:row>
      <xdr:rowOff>7100</xdr:rowOff>
    </xdr:to>
    <xdr:sp macro="" textlink="">
      <xdr:nvSpPr>
        <xdr:cNvPr id="3" name="Text Box 85">
          <a:extLst>
            <a:ext uri="{FF2B5EF4-FFF2-40B4-BE49-F238E27FC236}">
              <a16:creationId xmlns:a16="http://schemas.microsoft.com/office/drawing/2014/main" id="{E40870BC-C923-4631-8D53-9C47A12803C8}"/>
            </a:ext>
          </a:extLst>
        </xdr:cNvPr>
        <xdr:cNvSpPr txBox="1">
          <a:spLocks noChangeArrowheads="1"/>
        </xdr:cNvSpPr>
      </xdr:nvSpPr>
      <xdr:spPr bwMode="auto">
        <a:xfrm>
          <a:off x="0" y="108211620"/>
          <a:ext cx="6567921" cy="64718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endParaRPr lang="sv-FI" sz="1000" b="0" i="0" u="none" strike="noStrike" baseline="0">
            <a:solidFill>
              <a:srgbClr val="000000"/>
            </a:solidFill>
            <a:latin typeface="Arial"/>
            <a:cs typeface="Arial"/>
          </a:endParaRPr>
        </a:p>
        <a:p>
          <a:pPr algn="l" rtl="0">
            <a:defRPr sz="1000"/>
          </a:pPr>
          <a:r>
            <a:rPr lang="sv-FI" sz="1000" b="0" i="0" u="none" strike="noStrike" baseline="0">
              <a:solidFill>
                <a:srgbClr val="000000"/>
              </a:solidFill>
              <a:latin typeface="Arial"/>
              <a:cs typeface="Arial"/>
            </a:rPr>
            <a:t>                                                              </a:t>
          </a:r>
          <a:r>
            <a:rPr lang="sv-FI" sz="1400" b="1" i="0" u="none" strike="noStrike" baseline="0">
              <a:solidFill>
                <a:srgbClr val="000000"/>
              </a:solidFill>
              <a:latin typeface="Arial"/>
              <a:cs typeface="Arial"/>
            </a:rPr>
            <a:t>  EMBARSUNDSLINJEN   2018</a:t>
          </a:r>
        </a:p>
        <a:p>
          <a:pPr algn="l" rtl="0">
            <a:defRPr sz="1000"/>
          </a:pPr>
          <a:endParaRPr lang="sv-FI" sz="1400" b="1" i="0" u="none" strike="noStrike" baseline="0">
            <a:solidFill>
              <a:srgbClr val="000000"/>
            </a:solidFill>
            <a:latin typeface="Arial"/>
            <a:cs typeface="Arial"/>
          </a:endParaRPr>
        </a:p>
        <a:p>
          <a:pPr algn="l" rtl="0">
            <a:defRPr sz="1000"/>
          </a:pPr>
          <a:endParaRPr lang="sv-FI"/>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133003</xdr:rowOff>
    </xdr:from>
    <xdr:to>
      <xdr:col>15</xdr:col>
      <xdr:colOff>588991</xdr:colOff>
      <xdr:row>4</xdr:row>
      <xdr:rowOff>140104</xdr:rowOff>
    </xdr:to>
    <xdr:sp macro="" textlink="">
      <xdr:nvSpPr>
        <xdr:cNvPr id="2" name="Text Box 79">
          <a:extLst>
            <a:ext uri="{FF2B5EF4-FFF2-40B4-BE49-F238E27FC236}">
              <a16:creationId xmlns:a16="http://schemas.microsoft.com/office/drawing/2014/main" id="{782AB1F5-04FC-47A3-888C-65281D2ADB81}"/>
            </a:ext>
          </a:extLst>
        </xdr:cNvPr>
        <xdr:cNvSpPr txBox="1">
          <a:spLocks noChangeArrowheads="1"/>
        </xdr:cNvSpPr>
      </xdr:nvSpPr>
      <xdr:spPr bwMode="auto">
        <a:xfrm>
          <a:off x="0" y="96526003"/>
          <a:ext cx="8711911" cy="647181"/>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endParaRPr lang="sv-FI" sz="1000" b="0" i="0" u="none" strike="noStrike" baseline="0">
            <a:solidFill>
              <a:srgbClr val="000000"/>
            </a:solidFill>
            <a:latin typeface="Arial"/>
            <a:cs typeface="Arial"/>
          </a:endParaRPr>
        </a:p>
        <a:p>
          <a:pPr algn="l" rtl="0">
            <a:defRPr sz="1000"/>
          </a:pPr>
          <a:r>
            <a:rPr lang="sv-FI" sz="1000" b="0" i="0" u="none" strike="noStrike" baseline="0">
              <a:solidFill>
                <a:srgbClr val="000000"/>
              </a:solidFill>
              <a:latin typeface="Arial"/>
              <a:cs typeface="Arial"/>
            </a:rPr>
            <a:t>             </a:t>
          </a:r>
          <a:r>
            <a:rPr lang="sv-FI" sz="1000" b="1" i="0" u="none" strike="noStrike" baseline="0">
              <a:solidFill>
                <a:srgbClr val="000000"/>
              </a:solidFill>
              <a:latin typeface="Arial"/>
              <a:cs typeface="Arial"/>
            </a:rPr>
            <a:t>                     M/S FRIDA II            </a:t>
          </a:r>
          <a:r>
            <a:rPr lang="sv-FI" sz="1400" b="1" i="0" u="none" strike="noStrike" baseline="0">
              <a:solidFill>
                <a:srgbClr val="000000"/>
              </a:solidFill>
              <a:latin typeface="Arial"/>
              <a:cs typeface="Arial"/>
            </a:rPr>
            <a:t>    ENKLINGE - KUMLINGELINJEN    2017</a:t>
          </a:r>
          <a:endParaRPr lang="sv-FI"/>
        </a:p>
      </xdr:txBody>
    </xdr:sp>
    <xdr:clientData/>
  </xdr:twoCellAnchor>
  <xdr:oneCellAnchor>
    <xdr:from>
      <xdr:col>14</xdr:col>
      <xdr:colOff>133350</xdr:colOff>
      <xdr:row>4</xdr:row>
      <xdr:rowOff>66675</xdr:rowOff>
    </xdr:from>
    <xdr:ext cx="85725" cy="206375"/>
    <xdr:sp macro="" textlink="">
      <xdr:nvSpPr>
        <xdr:cNvPr id="3" name="Text Box 78">
          <a:extLst>
            <a:ext uri="{FF2B5EF4-FFF2-40B4-BE49-F238E27FC236}">
              <a16:creationId xmlns:a16="http://schemas.microsoft.com/office/drawing/2014/main" id="{F7C81675-2CDD-4A6D-942C-9573CDA3E2FE}"/>
            </a:ext>
          </a:extLst>
        </xdr:cNvPr>
        <xdr:cNvSpPr txBox="1">
          <a:spLocks noChangeArrowheads="1"/>
        </xdr:cNvSpPr>
      </xdr:nvSpPr>
      <xdr:spPr bwMode="auto">
        <a:xfrm>
          <a:off x="7532370" y="97099755"/>
          <a:ext cx="85725" cy="206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14</xdr:col>
      <xdr:colOff>133350</xdr:colOff>
      <xdr:row>29</xdr:row>
      <xdr:rowOff>66675</xdr:rowOff>
    </xdr:from>
    <xdr:ext cx="85725" cy="206375"/>
    <xdr:sp macro="" textlink="">
      <xdr:nvSpPr>
        <xdr:cNvPr id="5" name="Text Box 78">
          <a:extLst>
            <a:ext uri="{FF2B5EF4-FFF2-40B4-BE49-F238E27FC236}">
              <a16:creationId xmlns:a16="http://schemas.microsoft.com/office/drawing/2014/main" id="{A408E746-B570-4212-908F-415BED4C101A}"/>
            </a:ext>
          </a:extLst>
        </xdr:cNvPr>
        <xdr:cNvSpPr txBox="1">
          <a:spLocks noChangeArrowheads="1"/>
        </xdr:cNvSpPr>
      </xdr:nvSpPr>
      <xdr:spPr bwMode="auto">
        <a:xfrm>
          <a:off x="7532370" y="104422575"/>
          <a:ext cx="85725" cy="206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0</xdr:col>
      <xdr:colOff>0</xdr:colOff>
      <xdr:row>26</xdr:row>
      <xdr:rowOff>0</xdr:rowOff>
    </xdr:from>
    <xdr:to>
      <xdr:col>15</xdr:col>
      <xdr:colOff>588991</xdr:colOff>
      <xdr:row>30</xdr:row>
      <xdr:rowOff>7101</xdr:rowOff>
    </xdr:to>
    <xdr:sp macro="" textlink="">
      <xdr:nvSpPr>
        <xdr:cNvPr id="6" name="Text Box 79">
          <a:extLst>
            <a:ext uri="{FF2B5EF4-FFF2-40B4-BE49-F238E27FC236}">
              <a16:creationId xmlns:a16="http://schemas.microsoft.com/office/drawing/2014/main" id="{E0128AEF-C35B-46C8-A935-7CD4EE0DFD9E}"/>
            </a:ext>
          </a:extLst>
        </xdr:cNvPr>
        <xdr:cNvSpPr txBox="1">
          <a:spLocks noChangeArrowheads="1"/>
        </xdr:cNvSpPr>
      </xdr:nvSpPr>
      <xdr:spPr bwMode="auto">
        <a:xfrm>
          <a:off x="0" y="103875840"/>
          <a:ext cx="8711911" cy="647181"/>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endParaRPr lang="sv-FI" sz="1000" b="0" i="0" u="none" strike="noStrike" baseline="0">
            <a:solidFill>
              <a:srgbClr val="000000"/>
            </a:solidFill>
            <a:latin typeface="Arial"/>
            <a:cs typeface="Arial"/>
          </a:endParaRPr>
        </a:p>
        <a:p>
          <a:pPr algn="l" rtl="0">
            <a:defRPr sz="1000"/>
          </a:pPr>
          <a:r>
            <a:rPr lang="sv-FI" sz="1000" b="0" i="0" u="none" strike="noStrike" baseline="0">
              <a:solidFill>
                <a:srgbClr val="000000"/>
              </a:solidFill>
              <a:latin typeface="Arial"/>
              <a:cs typeface="Arial"/>
            </a:rPr>
            <a:t>             </a:t>
          </a:r>
          <a:r>
            <a:rPr lang="sv-FI" sz="1000" b="1" i="0" u="none" strike="noStrike" baseline="0">
              <a:solidFill>
                <a:srgbClr val="000000"/>
              </a:solidFill>
              <a:latin typeface="Arial"/>
              <a:cs typeface="Arial"/>
            </a:rPr>
            <a:t>                     M/S Rosala II            </a:t>
          </a:r>
          <a:r>
            <a:rPr lang="sv-FI" sz="1400" b="1" i="0" u="none" strike="noStrike" baseline="0">
              <a:solidFill>
                <a:srgbClr val="000000"/>
              </a:solidFill>
              <a:latin typeface="Arial"/>
              <a:cs typeface="Arial"/>
            </a:rPr>
            <a:t>    ENKLINGE - KUMLINGELINJEN    2018</a:t>
          </a:r>
        </a:p>
        <a:p>
          <a:pPr algn="l" rtl="0">
            <a:defRPr sz="1000"/>
          </a:pPr>
          <a:endParaRPr lang="sv-FI"/>
        </a:p>
      </xdr:txBody>
    </xdr:sp>
    <xdr:clientData/>
  </xdr:twoCellAnchor>
  <xdr:oneCellAnchor>
    <xdr:from>
      <xdr:col>14</xdr:col>
      <xdr:colOff>133350</xdr:colOff>
      <xdr:row>51</xdr:row>
      <xdr:rowOff>66675</xdr:rowOff>
    </xdr:from>
    <xdr:ext cx="85725" cy="206375"/>
    <xdr:sp macro="" textlink="">
      <xdr:nvSpPr>
        <xdr:cNvPr id="7" name="Text Box 78">
          <a:extLst>
            <a:ext uri="{FF2B5EF4-FFF2-40B4-BE49-F238E27FC236}">
              <a16:creationId xmlns:a16="http://schemas.microsoft.com/office/drawing/2014/main" id="{4F6CCEC5-7849-4B1B-8259-0BD6D6774440}"/>
            </a:ext>
          </a:extLst>
        </xdr:cNvPr>
        <xdr:cNvSpPr txBox="1">
          <a:spLocks noChangeArrowheads="1"/>
        </xdr:cNvSpPr>
      </xdr:nvSpPr>
      <xdr:spPr bwMode="auto">
        <a:xfrm>
          <a:off x="7677150" y="109791500"/>
          <a:ext cx="85725" cy="206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14</xdr:col>
      <xdr:colOff>133350</xdr:colOff>
      <xdr:row>72</xdr:row>
      <xdr:rowOff>66675</xdr:rowOff>
    </xdr:from>
    <xdr:ext cx="85725" cy="206375"/>
    <xdr:sp macro="" textlink="">
      <xdr:nvSpPr>
        <xdr:cNvPr id="8" name="Text Box 78">
          <a:extLst>
            <a:ext uri="{FF2B5EF4-FFF2-40B4-BE49-F238E27FC236}">
              <a16:creationId xmlns:a16="http://schemas.microsoft.com/office/drawing/2014/main" id="{A40F9CBD-2281-469A-A2C8-691433481EAC}"/>
            </a:ext>
          </a:extLst>
        </xdr:cNvPr>
        <xdr:cNvSpPr txBox="1">
          <a:spLocks noChangeArrowheads="1"/>
        </xdr:cNvSpPr>
      </xdr:nvSpPr>
      <xdr:spPr bwMode="auto">
        <a:xfrm>
          <a:off x="7677150" y="113258600"/>
          <a:ext cx="85725" cy="206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120072</xdr:rowOff>
    </xdr:from>
    <xdr:to>
      <xdr:col>15</xdr:col>
      <xdr:colOff>571500</xdr:colOff>
      <xdr:row>5</xdr:row>
      <xdr:rowOff>138545</xdr:rowOff>
    </xdr:to>
    <xdr:sp macro="" textlink="">
      <xdr:nvSpPr>
        <xdr:cNvPr id="65" name="Text Box 83">
          <a:extLst>
            <a:ext uri="{FF2B5EF4-FFF2-40B4-BE49-F238E27FC236}">
              <a16:creationId xmlns:a16="http://schemas.microsoft.com/office/drawing/2014/main" id="{00000000-0008-0000-0500-000041000000}"/>
            </a:ext>
          </a:extLst>
        </xdr:cNvPr>
        <xdr:cNvSpPr txBox="1">
          <a:spLocks noChangeArrowheads="1"/>
        </xdr:cNvSpPr>
      </xdr:nvSpPr>
      <xdr:spPr bwMode="auto">
        <a:xfrm>
          <a:off x="0" y="96169018"/>
          <a:ext cx="8745682" cy="64654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endParaRPr lang="sv-FI" sz="1000" b="0" i="0" u="none" strike="noStrike" baseline="0">
            <a:solidFill>
              <a:srgbClr val="000000"/>
            </a:solidFill>
            <a:latin typeface="Arial"/>
            <a:cs typeface="Arial"/>
          </a:endParaRPr>
        </a:p>
        <a:p>
          <a:pPr algn="l" rtl="0">
            <a:defRPr sz="1000"/>
          </a:pPr>
          <a:r>
            <a:rPr lang="sv-FI" sz="1000" b="0" i="0" u="none" strike="noStrike" baseline="0">
              <a:solidFill>
                <a:srgbClr val="000000"/>
              </a:solidFill>
              <a:latin typeface="Arial"/>
              <a:cs typeface="Arial"/>
            </a:rPr>
            <a:t>                                       </a:t>
          </a:r>
          <a:r>
            <a:rPr lang="sv-FI" sz="1000" b="1" i="0" u="none" strike="noStrike" baseline="0">
              <a:solidFill>
                <a:srgbClr val="000000"/>
              </a:solidFill>
              <a:latin typeface="Arial"/>
              <a:cs typeface="Arial"/>
            </a:rPr>
            <a:t>            M/S SKARVEN                                      </a:t>
          </a:r>
          <a:r>
            <a:rPr lang="sv-FI" sz="1400" b="1" i="0" u="none" strike="noStrike" baseline="0">
              <a:solidFill>
                <a:srgbClr val="000000"/>
              </a:solidFill>
              <a:latin typeface="Arial"/>
              <a:cs typeface="Arial"/>
            </a:rPr>
            <a:t> FÖGLÖLINJEN 2017</a:t>
          </a:r>
        </a:p>
        <a:p>
          <a:pPr algn="l" rtl="0">
            <a:defRPr sz="1000"/>
          </a:pPr>
          <a:endParaRPr lang="sv-FI"/>
        </a:p>
      </xdr:txBody>
    </xdr:sp>
    <xdr:clientData/>
  </xdr:twoCellAnchor>
  <xdr:twoCellAnchor>
    <xdr:from>
      <xdr:col>0</xdr:col>
      <xdr:colOff>0</xdr:colOff>
      <xdr:row>26</xdr:row>
      <xdr:rowOff>116416</xdr:rowOff>
    </xdr:from>
    <xdr:to>
      <xdr:col>15</xdr:col>
      <xdr:colOff>571500</xdr:colOff>
      <xdr:row>30</xdr:row>
      <xdr:rowOff>134889</xdr:rowOff>
    </xdr:to>
    <xdr:sp macro="" textlink="">
      <xdr:nvSpPr>
        <xdr:cNvPr id="69" name="Text Box 83">
          <a:extLst>
            <a:ext uri="{FF2B5EF4-FFF2-40B4-BE49-F238E27FC236}">
              <a16:creationId xmlns:a16="http://schemas.microsoft.com/office/drawing/2014/main" id="{EBF596DD-68B9-42E5-A7B1-D47A17018BC2}"/>
            </a:ext>
          </a:extLst>
        </xdr:cNvPr>
        <xdr:cNvSpPr txBox="1">
          <a:spLocks noChangeArrowheads="1"/>
        </xdr:cNvSpPr>
      </xdr:nvSpPr>
      <xdr:spPr bwMode="auto">
        <a:xfrm>
          <a:off x="0" y="105685166"/>
          <a:ext cx="9091083" cy="653473"/>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endParaRPr lang="sv-FI" sz="1000" b="0" i="0" u="none" strike="noStrike" baseline="0">
            <a:solidFill>
              <a:srgbClr val="000000"/>
            </a:solidFill>
            <a:latin typeface="Arial"/>
            <a:cs typeface="Arial"/>
          </a:endParaRPr>
        </a:p>
        <a:p>
          <a:pPr algn="l" rtl="0">
            <a:defRPr sz="1000"/>
          </a:pPr>
          <a:r>
            <a:rPr lang="sv-FI" sz="1000" b="0" i="0" u="none" strike="noStrike" baseline="0">
              <a:solidFill>
                <a:srgbClr val="000000"/>
              </a:solidFill>
              <a:latin typeface="Arial"/>
              <a:cs typeface="Arial"/>
            </a:rPr>
            <a:t>                                       </a:t>
          </a:r>
          <a:r>
            <a:rPr lang="sv-FI" sz="1000" b="1" i="0" u="none" strike="noStrike" baseline="0">
              <a:solidFill>
                <a:srgbClr val="000000"/>
              </a:solidFill>
              <a:latin typeface="Arial"/>
              <a:cs typeface="Arial"/>
            </a:rPr>
            <a:t>            M/S SKARVEN                                      </a:t>
          </a:r>
          <a:r>
            <a:rPr lang="sv-FI" sz="1400" b="1" i="0" u="none" strike="noStrike" baseline="0">
              <a:solidFill>
                <a:srgbClr val="000000"/>
              </a:solidFill>
              <a:latin typeface="Arial"/>
              <a:cs typeface="Arial"/>
            </a:rPr>
            <a:t> FÖGLÖLINJEN 2018</a:t>
          </a:r>
        </a:p>
        <a:p>
          <a:pPr algn="l" rtl="0">
            <a:defRPr sz="1000"/>
          </a:pPr>
          <a:endParaRPr lang="sv-FI"/>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0</xdr:rowOff>
    </xdr:from>
    <xdr:to>
      <xdr:col>14</xdr:col>
      <xdr:colOff>581025</xdr:colOff>
      <xdr:row>5</xdr:row>
      <xdr:rowOff>18473</xdr:rowOff>
    </xdr:to>
    <xdr:sp macro="" textlink="">
      <xdr:nvSpPr>
        <xdr:cNvPr id="89" name="Text Box 88">
          <a:extLst>
            <a:ext uri="{FF2B5EF4-FFF2-40B4-BE49-F238E27FC236}">
              <a16:creationId xmlns:a16="http://schemas.microsoft.com/office/drawing/2014/main" id="{00000000-0008-0000-0700-000059000000}"/>
            </a:ext>
          </a:extLst>
        </xdr:cNvPr>
        <xdr:cNvSpPr txBox="1">
          <a:spLocks noChangeArrowheads="1"/>
        </xdr:cNvSpPr>
      </xdr:nvSpPr>
      <xdr:spPr bwMode="auto">
        <a:xfrm>
          <a:off x="0" y="139404437"/>
          <a:ext cx="8681316" cy="64654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endParaRPr lang="sv-FI" sz="1000" b="0" i="0" u="none" strike="noStrike" baseline="0">
            <a:solidFill>
              <a:srgbClr val="000000"/>
            </a:solidFill>
            <a:latin typeface="Arial"/>
            <a:cs typeface="Arial"/>
          </a:endParaRPr>
        </a:p>
        <a:p>
          <a:pPr algn="l" rtl="0">
            <a:defRPr sz="1000"/>
          </a:pPr>
          <a:r>
            <a:rPr lang="sv-FI" sz="1000" b="0" i="0" u="none" strike="noStrike" baseline="0">
              <a:solidFill>
                <a:srgbClr val="000000"/>
              </a:solidFill>
              <a:latin typeface="Arial"/>
              <a:cs typeface="Arial"/>
            </a:rPr>
            <a:t>                  </a:t>
          </a:r>
          <a:r>
            <a:rPr lang="sv-FI" sz="1000" b="1" i="0" u="none" strike="noStrike" baseline="0">
              <a:solidFill>
                <a:srgbClr val="000000"/>
              </a:solidFill>
              <a:latin typeface="Arial"/>
              <a:cs typeface="Arial"/>
            </a:rPr>
            <a:t>        M/S ALFÅGELN/ M/S KNIPAN                                       </a:t>
          </a:r>
          <a:r>
            <a:rPr lang="sv-FI" sz="1400" b="1" i="0" u="none" strike="noStrike" baseline="0">
              <a:solidFill>
                <a:srgbClr val="000000"/>
              </a:solidFill>
              <a:latin typeface="Arial"/>
              <a:cs typeface="Arial"/>
            </a:rPr>
            <a:t>NORRA LINJEN   2017</a:t>
          </a:r>
        </a:p>
        <a:p>
          <a:pPr algn="l" rtl="0">
            <a:defRPr sz="1000"/>
          </a:pPr>
          <a:endParaRPr lang="sv-FI" sz="1400" b="1" i="0" u="none" strike="noStrike" baseline="0">
            <a:solidFill>
              <a:srgbClr val="000000"/>
            </a:solidFill>
            <a:latin typeface="Arial"/>
            <a:cs typeface="Arial"/>
          </a:endParaRPr>
        </a:p>
        <a:p>
          <a:pPr algn="l" rtl="0">
            <a:defRPr sz="1000"/>
          </a:pPr>
          <a:endParaRPr lang="sv-FI"/>
        </a:p>
      </xdr:txBody>
    </xdr:sp>
    <xdr:clientData/>
  </xdr:twoCellAnchor>
  <xdr:twoCellAnchor>
    <xdr:from>
      <xdr:col>0</xdr:col>
      <xdr:colOff>0</xdr:colOff>
      <xdr:row>23</xdr:row>
      <xdr:rowOff>92365</xdr:rowOff>
    </xdr:from>
    <xdr:to>
      <xdr:col>14</xdr:col>
      <xdr:colOff>581025</xdr:colOff>
      <xdr:row>27</xdr:row>
      <xdr:rowOff>110838</xdr:rowOff>
    </xdr:to>
    <xdr:sp macro="" textlink="">
      <xdr:nvSpPr>
        <xdr:cNvPr id="91" name="Text Box 88">
          <a:extLst>
            <a:ext uri="{FF2B5EF4-FFF2-40B4-BE49-F238E27FC236}">
              <a16:creationId xmlns:a16="http://schemas.microsoft.com/office/drawing/2014/main" id="{00000000-0008-0000-0700-00005B000000}"/>
            </a:ext>
          </a:extLst>
        </xdr:cNvPr>
        <xdr:cNvSpPr txBox="1">
          <a:spLocks noChangeArrowheads="1"/>
        </xdr:cNvSpPr>
      </xdr:nvSpPr>
      <xdr:spPr bwMode="auto">
        <a:xfrm>
          <a:off x="0" y="143098983"/>
          <a:ext cx="8681316" cy="646546"/>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endParaRPr lang="sv-FI" sz="1000" b="0" i="0" u="none" strike="noStrike" baseline="0">
            <a:solidFill>
              <a:srgbClr val="000000"/>
            </a:solidFill>
            <a:latin typeface="Arial"/>
            <a:cs typeface="Arial"/>
          </a:endParaRPr>
        </a:p>
        <a:p>
          <a:pPr algn="l" rtl="0">
            <a:defRPr sz="1000"/>
          </a:pPr>
          <a:r>
            <a:rPr lang="sv-FI" sz="1000" b="0" i="0" u="none" strike="noStrike" baseline="0">
              <a:solidFill>
                <a:srgbClr val="000000"/>
              </a:solidFill>
              <a:latin typeface="Arial"/>
              <a:cs typeface="Arial"/>
            </a:rPr>
            <a:t>                  </a:t>
          </a:r>
          <a:r>
            <a:rPr lang="sv-FI" sz="1000" b="1" i="0" u="none" strike="noStrike" baseline="0">
              <a:solidFill>
                <a:srgbClr val="000000"/>
              </a:solidFill>
              <a:latin typeface="Arial"/>
              <a:cs typeface="Arial"/>
            </a:rPr>
            <a:t>         M/S KNIPAN                                       </a:t>
          </a:r>
          <a:r>
            <a:rPr lang="sv-FI" sz="1400" b="1" i="0" u="none" strike="noStrike" baseline="0">
              <a:solidFill>
                <a:srgbClr val="000000"/>
              </a:solidFill>
              <a:latin typeface="Arial"/>
              <a:cs typeface="Arial"/>
            </a:rPr>
            <a:t>NORRA LINJEN   2017</a:t>
          </a:r>
        </a:p>
        <a:p>
          <a:pPr algn="l" rtl="0">
            <a:defRPr sz="1000"/>
          </a:pPr>
          <a:endParaRPr lang="sv-FI" sz="1400" b="1" i="0" u="none" strike="noStrike" baseline="0">
            <a:solidFill>
              <a:srgbClr val="000000"/>
            </a:solidFill>
            <a:latin typeface="Arial"/>
            <a:cs typeface="Arial"/>
          </a:endParaRPr>
        </a:p>
        <a:p>
          <a:pPr algn="l" rtl="0">
            <a:defRPr sz="1000"/>
          </a:pPr>
          <a:endParaRPr lang="sv-FI"/>
        </a:p>
      </xdr:txBody>
    </xdr:sp>
    <xdr:clientData/>
  </xdr:twoCellAnchor>
  <xdr:twoCellAnchor>
    <xdr:from>
      <xdr:col>0</xdr:col>
      <xdr:colOff>0</xdr:colOff>
      <xdr:row>42</xdr:row>
      <xdr:rowOff>55417</xdr:rowOff>
    </xdr:from>
    <xdr:to>
      <xdr:col>14</xdr:col>
      <xdr:colOff>581025</xdr:colOff>
      <xdr:row>46</xdr:row>
      <xdr:rowOff>73890</xdr:rowOff>
    </xdr:to>
    <xdr:sp macro="" textlink="">
      <xdr:nvSpPr>
        <xdr:cNvPr id="92" name="Text Box 88">
          <a:extLst>
            <a:ext uri="{FF2B5EF4-FFF2-40B4-BE49-F238E27FC236}">
              <a16:creationId xmlns:a16="http://schemas.microsoft.com/office/drawing/2014/main" id="{00000000-0008-0000-0700-00005C000000}"/>
            </a:ext>
          </a:extLst>
        </xdr:cNvPr>
        <xdr:cNvSpPr txBox="1">
          <a:spLocks noChangeArrowheads="1"/>
        </xdr:cNvSpPr>
      </xdr:nvSpPr>
      <xdr:spPr bwMode="auto">
        <a:xfrm>
          <a:off x="0" y="146165454"/>
          <a:ext cx="9041534" cy="64654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endParaRPr lang="sv-FI" sz="1000" b="0" i="0" u="none" strike="noStrike" baseline="0">
            <a:solidFill>
              <a:srgbClr val="000000"/>
            </a:solidFill>
            <a:latin typeface="Arial"/>
            <a:cs typeface="Arial"/>
          </a:endParaRPr>
        </a:p>
        <a:p>
          <a:pPr algn="l" rtl="0">
            <a:defRPr sz="1000"/>
          </a:pPr>
          <a:r>
            <a:rPr lang="sv-FI" sz="1000" b="0" i="0" u="none" strike="noStrike" baseline="0">
              <a:solidFill>
                <a:srgbClr val="000000"/>
              </a:solidFill>
              <a:latin typeface="Arial"/>
              <a:cs typeface="Arial"/>
            </a:rPr>
            <a:t>                  </a:t>
          </a:r>
          <a:r>
            <a:rPr lang="sv-FI" sz="1000" b="1" i="0" u="none" strike="noStrike" baseline="0">
              <a:solidFill>
                <a:srgbClr val="000000"/>
              </a:solidFill>
              <a:latin typeface="Arial"/>
              <a:cs typeface="Arial"/>
            </a:rPr>
            <a:t>         M/S ALFÅGELN                                    </a:t>
          </a:r>
          <a:r>
            <a:rPr lang="sv-FI" sz="1400" b="1" i="0" u="none" strike="noStrike" baseline="0">
              <a:solidFill>
                <a:srgbClr val="000000"/>
              </a:solidFill>
              <a:latin typeface="Arial"/>
              <a:cs typeface="Arial"/>
            </a:rPr>
            <a:t>NORRA LINJEN   2017</a:t>
          </a:r>
        </a:p>
        <a:p>
          <a:pPr algn="l" rtl="0">
            <a:defRPr sz="1000"/>
          </a:pPr>
          <a:endParaRPr lang="sv-FI" sz="1400" b="1" i="0" u="none" strike="noStrike" baseline="0">
            <a:solidFill>
              <a:srgbClr val="000000"/>
            </a:solidFill>
            <a:latin typeface="Arial"/>
            <a:cs typeface="Arial"/>
          </a:endParaRPr>
        </a:p>
        <a:p>
          <a:pPr algn="l" rtl="0">
            <a:defRPr sz="1000"/>
          </a:pPr>
          <a:endParaRPr lang="sv-FI"/>
        </a:p>
      </xdr:txBody>
    </xdr:sp>
    <xdr:clientData/>
  </xdr:twoCellAnchor>
  <xdr:twoCellAnchor>
    <xdr:from>
      <xdr:col>0</xdr:col>
      <xdr:colOff>0</xdr:colOff>
      <xdr:row>66</xdr:row>
      <xdr:rowOff>0</xdr:rowOff>
    </xdr:from>
    <xdr:to>
      <xdr:col>14</xdr:col>
      <xdr:colOff>581025</xdr:colOff>
      <xdr:row>70</xdr:row>
      <xdr:rowOff>18473</xdr:rowOff>
    </xdr:to>
    <xdr:sp macro="" textlink="">
      <xdr:nvSpPr>
        <xdr:cNvPr id="93" name="Text Box 88">
          <a:extLst>
            <a:ext uri="{FF2B5EF4-FFF2-40B4-BE49-F238E27FC236}">
              <a16:creationId xmlns:a16="http://schemas.microsoft.com/office/drawing/2014/main" id="{8BBB2981-F703-46F0-833F-A0A9101A2BA9}"/>
            </a:ext>
          </a:extLst>
        </xdr:cNvPr>
        <xdr:cNvSpPr txBox="1">
          <a:spLocks noChangeArrowheads="1"/>
        </xdr:cNvSpPr>
      </xdr:nvSpPr>
      <xdr:spPr bwMode="auto">
        <a:xfrm>
          <a:off x="0" y="145097500"/>
          <a:ext cx="8994775" cy="653473"/>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endParaRPr lang="sv-FI" sz="1000" b="0" i="0" u="none" strike="noStrike" baseline="0">
            <a:solidFill>
              <a:srgbClr val="000000"/>
            </a:solidFill>
            <a:latin typeface="Arial"/>
            <a:cs typeface="Arial"/>
          </a:endParaRPr>
        </a:p>
        <a:p>
          <a:pPr algn="l" rtl="0">
            <a:defRPr sz="1000"/>
          </a:pPr>
          <a:r>
            <a:rPr lang="sv-FI" sz="1000" b="0" i="0" u="none" strike="noStrike" baseline="0">
              <a:solidFill>
                <a:srgbClr val="000000"/>
              </a:solidFill>
              <a:latin typeface="Arial"/>
              <a:cs typeface="Arial"/>
            </a:rPr>
            <a:t>                  </a:t>
          </a:r>
          <a:r>
            <a:rPr lang="sv-FI" sz="1000" b="1" i="0" u="none" strike="noStrike" baseline="0">
              <a:solidFill>
                <a:srgbClr val="000000"/>
              </a:solidFill>
              <a:latin typeface="Arial"/>
              <a:cs typeface="Arial"/>
            </a:rPr>
            <a:t>        M/S ALFÅGELN/ M/S KNIPAN                                       </a:t>
          </a:r>
          <a:r>
            <a:rPr lang="sv-FI" sz="1400" b="1" i="0" u="none" strike="noStrike" baseline="0">
              <a:solidFill>
                <a:srgbClr val="000000"/>
              </a:solidFill>
              <a:latin typeface="Arial"/>
              <a:cs typeface="Arial"/>
            </a:rPr>
            <a:t>NORRA LINJEN   2018</a:t>
          </a:r>
        </a:p>
        <a:p>
          <a:pPr algn="l" rtl="0">
            <a:defRPr sz="1000"/>
          </a:pPr>
          <a:endParaRPr lang="sv-FI" sz="1400" b="1" i="0" u="none" strike="noStrike" baseline="0">
            <a:solidFill>
              <a:srgbClr val="000000"/>
            </a:solidFill>
            <a:latin typeface="Arial"/>
            <a:cs typeface="Arial"/>
          </a:endParaRPr>
        </a:p>
        <a:p>
          <a:pPr algn="l" rtl="0">
            <a:defRPr sz="1000"/>
          </a:pPr>
          <a:endParaRPr lang="sv-FI"/>
        </a:p>
      </xdr:txBody>
    </xdr:sp>
    <xdr:clientData/>
  </xdr:twoCellAnchor>
  <xdr:twoCellAnchor>
    <xdr:from>
      <xdr:col>0</xdr:col>
      <xdr:colOff>0</xdr:colOff>
      <xdr:row>88</xdr:row>
      <xdr:rowOff>92365</xdr:rowOff>
    </xdr:from>
    <xdr:to>
      <xdr:col>14</xdr:col>
      <xdr:colOff>581025</xdr:colOff>
      <xdr:row>92</xdr:row>
      <xdr:rowOff>110838</xdr:rowOff>
    </xdr:to>
    <xdr:sp macro="" textlink="">
      <xdr:nvSpPr>
        <xdr:cNvPr id="94" name="Text Box 88">
          <a:extLst>
            <a:ext uri="{FF2B5EF4-FFF2-40B4-BE49-F238E27FC236}">
              <a16:creationId xmlns:a16="http://schemas.microsoft.com/office/drawing/2014/main" id="{D7C7B20B-3256-4131-8701-FCA6296C0EDA}"/>
            </a:ext>
          </a:extLst>
        </xdr:cNvPr>
        <xdr:cNvSpPr txBox="1">
          <a:spLocks noChangeArrowheads="1"/>
        </xdr:cNvSpPr>
      </xdr:nvSpPr>
      <xdr:spPr bwMode="auto">
        <a:xfrm>
          <a:off x="0" y="148682365"/>
          <a:ext cx="8994775" cy="653473"/>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endParaRPr lang="sv-FI" sz="1000" b="0" i="0" u="none" strike="noStrike" baseline="0">
            <a:solidFill>
              <a:srgbClr val="000000"/>
            </a:solidFill>
            <a:latin typeface="Arial"/>
            <a:cs typeface="Arial"/>
          </a:endParaRPr>
        </a:p>
        <a:p>
          <a:pPr algn="l" rtl="0">
            <a:defRPr sz="1000"/>
          </a:pPr>
          <a:r>
            <a:rPr lang="sv-FI" sz="1000" b="0" i="0" u="none" strike="noStrike" baseline="0">
              <a:solidFill>
                <a:srgbClr val="000000"/>
              </a:solidFill>
              <a:latin typeface="Arial"/>
              <a:cs typeface="Arial"/>
            </a:rPr>
            <a:t>                  </a:t>
          </a:r>
          <a:r>
            <a:rPr lang="sv-FI" sz="1000" b="1" i="0" u="none" strike="noStrike" baseline="0">
              <a:solidFill>
                <a:srgbClr val="000000"/>
              </a:solidFill>
              <a:latin typeface="Arial"/>
              <a:cs typeface="Arial"/>
            </a:rPr>
            <a:t>         M/S KNIPAN                                       </a:t>
          </a:r>
          <a:r>
            <a:rPr lang="sv-FI" sz="1400" b="1" i="0" u="none" strike="noStrike" baseline="0">
              <a:solidFill>
                <a:srgbClr val="000000"/>
              </a:solidFill>
              <a:latin typeface="Arial"/>
              <a:cs typeface="Arial"/>
            </a:rPr>
            <a:t>NORRA LINJEN   2018</a:t>
          </a:r>
        </a:p>
        <a:p>
          <a:pPr algn="l" rtl="0">
            <a:defRPr sz="1000"/>
          </a:pPr>
          <a:endParaRPr lang="sv-FI" sz="1400" b="1" i="0" u="none" strike="noStrike" baseline="0">
            <a:solidFill>
              <a:srgbClr val="000000"/>
            </a:solidFill>
            <a:latin typeface="Arial"/>
            <a:cs typeface="Arial"/>
          </a:endParaRPr>
        </a:p>
        <a:p>
          <a:pPr algn="l" rtl="0">
            <a:defRPr sz="1000"/>
          </a:pPr>
          <a:endParaRPr lang="sv-FI"/>
        </a:p>
      </xdr:txBody>
    </xdr:sp>
    <xdr:clientData/>
  </xdr:twoCellAnchor>
  <xdr:twoCellAnchor>
    <xdr:from>
      <xdr:col>0</xdr:col>
      <xdr:colOff>0</xdr:colOff>
      <xdr:row>107</xdr:row>
      <xdr:rowOff>55417</xdr:rowOff>
    </xdr:from>
    <xdr:to>
      <xdr:col>14</xdr:col>
      <xdr:colOff>581025</xdr:colOff>
      <xdr:row>111</xdr:row>
      <xdr:rowOff>73890</xdr:rowOff>
    </xdr:to>
    <xdr:sp macro="" textlink="">
      <xdr:nvSpPr>
        <xdr:cNvPr id="96" name="Text Box 88">
          <a:extLst>
            <a:ext uri="{FF2B5EF4-FFF2-40B4-BE49-F238E27FC236}">
              <a16:creationId xmlns:a16="http://schemas.microsoft.com/office/drawing/2014/main" id="{4A9E450E-E9CB-45FB-BFC3-EF7F1348BC35}"/>
            </a:ext>
          </a:extLst>
        </xdr:cNvPr>
        <xdr:cNvSpPr txBox="1">
          <a:spLocks noChangeArrowheads="1"/>
        </xdr:cNvSpPr>
      </xdr:nvSpPr>
      <xdr:spPr bwMode="auto">
        <a:xfrm>
          <a:off x="0" y="151661667"/>
          <a:ext cx="8994775" cy="653473"/>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endParaRPr lang="sv-FI" sz="1000" b="0" i="0" u="none" strike="noStrike" baseline="0">
            <a:solidFill>
              <a:srgbClr val="000000"/>
            </a:solidFill>
            <a:latin typeface="Arial"/>
            <a:cs typeface="Arial"/>
          </a:endParaRPr>
        </a:p>
        <a:p>
          <a:pPr algn="l" rtl="0">
            <a:defRPr sz="1000"/>
          </a:pPr>
          <a:r>
            <a:rPr lang="sv-FI" sz="1000" b="0" i="0" u="none" strike="noStrike" baseline="0">
              <a:solidFill>
                <a:srgbClr val="000000"/>
              </a:solidFill>
              <a:latin typeface="Arial"/>
              <a:cs typeface="Arial"/>
            </a:rPr>
            <a:t>                  </a:t>
          </a:r>
          <a:r>
            <a:rPr lang="sv-FI" sz="1000" b="1" i="0" u="none" strike="noStrike" baseline="0">
              <a:solidFill>
                <a:srgbClr val="000000"/>
              </a:solidFill>
              <a:latin typeface="Arial"/>
              <a:cs typeface="Arial"/>
            </a:rPr>
            <a:t>         M/S ALFÅGELN                                    </a:t>
          </a:r>
          <a:r>
            <a:rPr lang="sv-FI" sz="1400" b="1" i="0" u="none" strike="noStrike" baseline="0">
              <a:solidFill>
                <a:srgbClr val="000000"/>
              </a:solidFill>
              <a:latin typeface="Arial"/>
              <a:cs typeface="Arial"/>
            </a:rPr>
            <a:t>NORRA LINJEN   2018</a:t>
          </a:r>
        </a:p>
        <a:p>
          <a:pPr algn="l" rtl="0">
            <a:defRPr sz="1000"/>
          </a:pPr>
          <a:endParaRPr lang="sv-FI" sz="1400" b="1" i="0" u="none" strike="noStrike" baseline="0">
            <a:solidFill>
              <a:srgbClr val="000000"/>
            </a:solidFill>
            <a:latin typeface="Arial"/>
            <a:cs typeface="Arial"/>
          </a:endParaRPr>
        </a:p>
        <a:p>
          <a:pPr algn="l" rtl="0">
            <a:defRPr sz="1000"/>
          </a:pPr>
          <a:endParaRPr lang="sv-FI"/>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xdr:row>
      <xdr:rowOff>0</xdr:rowOff>
    </xdr:from>
    <xdr:to>
      <xdr:col>9</xdr:col>
      <xdr:colOff>646257</xdr:colOff>
      <xdr:row>5</xdr:row>
      <xdr:rowOff>0</xdr:rowOff>
    </xdr:to>
    <xdr:sp macro="" textlink="">
      <xdr:nvSpPr>
        <xdr:cNvPr id="2" name="Text Box 81">
          <a:extLst>
            <a:ext uri="{FF2B5EF4-FFF2-40B4-BE49-F238E27FC236}">
              <a16:creationId xmlns:a16="http://schemas.microsoft.com/office/drawing/2014/main" id="{E286FD92-8973-4501-881C-E8C228C21914}"/>
            </a:ext>
          </a:extLst>
        </xdr:cNvPr>
        <xdr:cNvSpPr txBox="1">
          <a:spLocks noChangeArrowheads="1"/>
        </xdr:cNvSpPr>
      </xdr:nvSpPr>
      <xdr:spPr bwMode="auto">
        <a:xfrm>
          <a:off x="0" y="154533600"/>
          <a:ext cx="6765117" cy="73152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endParaRPr lang="sv-FI" sz="1000" b="0" i="0" u="none" strike="noStrike" baseline="0">
            <a:solidFill>
              <a:srgbClr val="000000"/>
            </a:solidFill>
            <a:latin typeface="Arial"/>
            <a:cs typeface="Arial"/>
          </a:endParaRPr>
        </a:p>
        <a:p>
          <a:pPr algn="l" rtl="0">
            <a:defRPr sz="1000"/>
          </a:pPr>
          <a:r>
            <a:rPr lang="sv-FI" sz="1000" b="0" i="0" u="none" strike="noStrike" baseline="0">
              <a:solidFill>
                <a:srgbClr val="000000"/>
              </a:solidFill>
              <a:latin typeface="Arial"/>
              <a:cs typeface="Arial"/>
            </a:rPr>
            <a:t>                                                                  </a:t>
          </a:r>
          <a:r>
            <a:rPr lang="sv-FI" sz="1400" b="1" i="0" u="none" strike="noStrike" baseline="0">
              <a:solidFill>
                <a:srgbClr val="000000"/>
              </a:solidFill>
              <a:latin typeface="Arial"/>
              <a:cs typeface="Arial"/>
            </a:rPr>
            <a:t>SEGLINGELINJEN   2017</a:t>
          </a:r>
        </a:p>
        <a:p>
          <a:pPr algn="l" rtl="0">
            <a:defRPr sz="1000"/>
          </a:pPr>
          <a:endParaRPr lang="sv-FI"/>
        </a:p>
      </xdr:txBody>
    </xdr:sp>
    <xdr:clientData/>
  </xdr:twoCellAnchor>
  <xdr:twoCellAnchor>
    <xdr:from>
      <xdr:col>0</xdr:col>
      <xdr:colOff>0</xdr:colOff>
      <xdr:row>24</xdr:row>
      <xdr:rowOff>0</xdr:rowOff>
    </xdr:from>
    <xdr:to>
      <xdr:col>9</xdr:col>
      <xdr:colOff>646257</xdr:colOff>
      <xdr:row>28</xdr:row>
      <xdr:rowOff>0</xdr:rowOff>
    </xdr:to>
    <xdr:sp macro="" textlink="">
      <xdr:nvSpPr>
        <xdr:cNvPr id="3" name="Text Box 81">
          <a:extLst>
            <a:ext uri="{FF2B5EF4-FFF2-40B4-BE49-F238E27FC236}">
              <a16:creationId xmlns:a16="http://schemas.microsoft.com/office/drawing/2014/main" id="{A272D5A7-CA9A-4176-92B8-BE855DC17B3A}"/>
            </a:ext>
          </a:extLst>
        </xdr:cNvPr>
        <xdr:cNvSpPr txBox="1">
          <a:spLocks noChangeArrowheads="1"/>
        </xdr:cNvSpPr>
      </xdr:nvSpPr>
      <xdr:spPr bwMode="auto">
        <a:xfrm>
          <a:off x="0" y="162214560"/>
          <a:ext cx="6765117" cy="73152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endParaRPr lang="sv-FI" sz="1000" b="0" i="0" u="none" strike="noStrike" baseline="0">
            <a:solidFill>
              <a:srgbClr val="000000"/>
            </a:solidFill>
            <a:latin typeface="Arial"/>
            <a:cs typeface="Arial"/>
          </a:endParaRPr>
        </a:p>
        <a:p>
          <a:pPr algn="l" rtl="0">
            <a:defRPr sz="1000"/>
          </a:pPr>
          <a:r>
            <a:rPr lang="sv-FI" sz="1000" b="0" i="0" u="none" strike="noStrike" baseline="0">
              <a:solidFill>
                <a:srgbClr val="000000"/>
              </a:solidFill>
              <a:latin typeface="Arial"/>
              <a:cs typeface="Arial"/>
            </a:rPr>
            <a:t>                                                                  </a:t>
          </a:r>
          <a:r>
            <a:rPr lang="sv-FI" sz="1400" b="1" i="0" u="none" strike="noStrike" baseline="0">
              <a:solidFill>
                <a:srgbClr val="000000"/>
              </a:solidFill>
              <a:latin typeface="Arial"/>
              <a:cs typeface="Arial"/>
            </a:rPr>
            <a:t>SEGLINGELINJEN   2018</a:t>
          </a:r>
        </a:p>
        <a:p>
          <a:pPr algn="l" rtl="0">
            <a:defRPr sz="1000"/>
          </a:pPr>
          <a:endParaRPr lang="sv-FI"/>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xdr:row>
      <xdr:rowOff>124690</xdr:rowOff>
    </xdr:from>
    <xdr:to>
      <xdr:col>9</xdr:col>
      <xdr:colOff>647181</xdr:colOff>
      <xdr:row>5</xdr:row>
      <xdr:rowOff>131791</xdr:rowOff>
    </xdr:to>
    <xdr:sp macro="" textlink="">
      <xdr:nvSpPr>
        <xdr:cNvPr id="2" name="Text Box 82">
          <a:extLst>
            <a:ext uri="{FF2B5EF4-FFF2-40B4-BE49-F238E27FC236}">
              <a16:creationId xmlns:a16="http://schemas.microsoft.com/office/drawing/2014/main" id="{49F9C0C1-677E-43C1-8F6B-BF57292227B0}"/>
            </a:ext>
          </a:extLst>
        </xdr:cNvPr>
        <xdr:cNvSpPr txBox="1">
          <a:spLocks noChangeArrowheads="1"/>
        </xdr:cNvSpPr>
      </xdr:nvSpPr>
      <xdr:spPr bwMode="auto">
        <a:xfrm>
          <a:off x="0" y="138481030"/>
          <a:ext cx="6567921" cy="647181"/>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endParaRPr lang="sv-FI" sz="1000" b="0" i="0" u="none" strike="noStrike" baseline="0">
            <a:solidFill>
              <a:srgbClr val="000000"/>
            </a:solidFill>
            <a:latin typeface="Arial"/>
            <a:cs typeface="Arial"/>
          </a:endParaRPr>
        </a:p>
        <a:p>
          <a:pPr algn="l" rtl="0">
            <a:defRPr sz="1000"/>
          </a:pPr>
          <a:r>
            <a:rPr lang="sv-FI" sz="1000" b="0" i="0" u="none" strike="noStrike" baseline="0">
              <a:solidFill>
                <a:srgbClr val="000000"/>
              </a:solidFill>
              <a:latin typeface="Arial"/>
              <a:cs typeface="Arial"/>
            </a:rPr>
            <a:t>                                                              </a:t>
          </a:r>
          <a:r>
            <a:rPr lang="sv-FI" sz="1400" b="1" i="0" u="none" strike="noStrike" baseline="0">
              <a:solidFill>
                <a:srgbClr val="000000"/>
              </a:solidFill>
              <a:latin typeface="Arial"/>
              <a:cs typeface="Arial"/>
            </a:rPr>
            <a:t>SIMSKÄLALINJEN 2017</a:t>
          </a:r>
        </a:p>
        <a:p>
          <a:pPr algn="l" rtl="0">
            <a:defRPr sz="1000"/>
          </a:pPr>
          <a:endParaRPr lang="sv-FI"/>
        </a:p>
      </xdr:txBody>
    </xdr:sp>
    <xdr:clientData/>
  </xdr:twoCellAnchor>
  <xdr:twoCellAnchor>
    <xdr:from>
      <xdr:col>0</xdr:col>
      <xdr:colOff>0</xdr:colOff>
      <xdr:row>25</xdr:row>
      <xdr:rowOff>124690</xdr:rowOff>
    </xdr:from>
    <xdr:to>
      <xdr:col>9</xdr:col>
      <xdr:colOff>647181</xdr:colOff>
      <xdr:row>29</xdr:row>
      <xdr:rowOff>131791</xdr:rowOff>
    </xdr:to>
    <xdr:sp macro="" textlink="">
      <xdr:nvSpPr>
        <xdr:cNvPr id="4" name="Text Box 82">
          <a:extLst>
            <a:ext uri="{FF2B5EF4-FFF2-40B4-BE49-F238E27FC236}">
              <a16:creationId xmlns:a16="http://schemas.microsoft.com/office/drawing/2014/main" id="{C067F3D8-CAAE-4E34-8591-A211004EE8AA}"/>
            </a:ext>
          </a:extLst>
        </xdr:cNvPr>
        <xdr:cNvSpPr txBox="1">
          <a:spLocks noChangeArrowheads="1"/>
        </xdr:cNvSpPr>
      </xdr:nvSpPr>
      <xdr:spPr bwMode="auto">
        <a:xfrm>
          <a:off x="0" y="146123890"/>
          <a:ext cx="6567921" cy="647181"/>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endParaRPr lang="sv-FI" sz="1000" b="0" i="0" u="none" strike="noStrike" baseline="0">
            <a:solidFill>
              <a:srgbClr val="000000"/>
            </a:solidFill>
            <a:latin typeface="Arial"/>
            <a:cs typeface="Arial"/>
          </a:endParaRPr>
        </a:p>
        <a:p>
          <a:pPr algn="l" rtl="0">
            <a:defRPr sz="1000"/>
          </a:pPr>
          <a:r>
            <a:rPr lang="sv-FI" sz="1000" b="0" i="0" u="none" strike="noStrike" baseline="0">
              <a:solidFill>
                <a:srgbClr val="000000"/>
              </a:solidFill>
              <a:latin typeface="Arial"/>
              <a:cs typeface="Arial"/>
            </a:rPr>
            <a:t>                                                              </a:t>
          </a:r>
          <a:r>
            <a:rPr lang="sv-FI" sz="1400" b="1" i="0" u="none" strike="noStrike" baseline="0">
              <a:solidFill>
                <a:srgbClr val="000000"/>
              </a:solidFill>
              <a:latin typeface="Arial"/>
              <a:cs typeface="Arial"/>
            </a:rPr>
            <a:t>SIMSKÄLALINJEN 2018</a:t>
          </a:r>
        </a:p>
        <a:p>
          <a:pPr algn="l" rtl="0">
            <a:defRPr sz="1000"/>
          </a:pPr>
          <a:endParaRPr lang="sv-FI"/>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frastruktur/2%20Tsb/74000%20&#197;landstrafiken/F&#228;rjstatistik/Ny%20f&#228;rjstatistik%202018%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terholma"/>
      <sheetName val="Björkö"/>
      <sheetName val="Brändö-Kumlinge, ny Sep-19"/>
      <sheetName val="Brändö-Osnäs"/>
      <sheetName val="Embarsund"/>
      <sheetName val="Enklinge-Kumlinge"/>
      <sheetName val="Föglö"/>
      <sheetName val=" Norra"/>
      <sheetName val=" Seglinge"/>
      <sheetName val=" Simskäla"/>
      <sheetName val=" Södra special"/>
      <sheetName val=" Södra tot."/>
      <sheetName val="Tvärgående"/>
      <sheetName val=" Töftö"/>
      <sheetName val="Åva-Jurmo"/>
      <sheetName val="Diagram1"/>
      <sheetName val=" Ängösund"/>
      <sheetName val="Trafik per månad"/>
      <sheetName val="Olik. ford.typ."/>
      <sheetName val="PassFord."/>
      <sheetName val="Inres.Åland"/>
    </sheetNames>
    <sheetDataSet>
      <sheetData sheetId="0"/>
      <sheetData sheetId="1"/>
      <sheetData sheetId="2"/>
      <sheetData sheetId="3"/>
      <sheetData sheetId="4"/>
      <sheetData sheetId="5"/>
      <sheetData sheetId="6"/>
      <sheetData sheetId="7"/>
      <sheetData sheetId="8"/>
      <sheetData sheetId="9"/>
      <sheetData sheetId="10">
        <row r="807">
          <cell r="B807">
            <v>1792</v>
          </cell>
          <cell r="C807">
            <v>798</v>
          </cell>
          <cell r="D807">
            <v>86</v>
          </cell>
          <cell r="E807">
            <v>2</v>
          </cell>
          <cell r="F807">
            <v>11</v>
          </cell>
          <cell r="G807">
            <v>0</v>
          </cell>
          <cell r="H807">
            <v>2</v>
          </cell>
          <cell r="I807">
            <v>1</v>
          </cell>
          <cell r="J807">
            <v>0</v>
          </cell>
          <cell r="L807">
            <v>41</v>
          </cell>
          <cell r="M807">
            <v>0</v>
          </cell>
          <cell r="O807">
            <v>1034</v>
          </cell>
        </row>
        <row r="808">
          <cell r="B808">
            <v>2875</v>
          </cell>
          <cell r="C808">
            <v>1235</v>
          </cell>
          <cell r="D808">
            <v>101</v>
          </cell>
          <cell r="E808">
            <v>0</v>
          </cell>
          <cell r="F808">
            <v>30</v>
          </cell>
          <cell r="G808">
            <v>2</v>
          </cell>
          <cell r="H808">
            <v>3</v>
          </cell>
          <cell r="I808">
            <v>0</v>
          </cell>
          <cell r="J808">
            <v>6</v>
          </cell>
          <cell r="L808">
            <v>81</v>
          </cell>
          <cell r="M808">
            <v>0</v>
          </cell>
          <cell r="O808">
            <v>1373</v>
          </cell>
        </row>
        <row r="809">
          <cell r="B809">
            <v>4044</v>
          </cell>
          <cell r="C809">
            <v>1479</v>
          </cell>
          <cell r="D809">
            <v>123</v>
          </cell>
          <cell r="E809">
            <v>10</v>
          </cell>
          <cell r="F809">
            <v>20</v>
          </cell>
          <cell r="G809">
            <v>3</v>
          </cell>
          <cell r="H809">
            <v>10</v>
          </cell>
          <cell r="I809">
            <v>15</v>
          </cell>
          <cell r="J809">
            <v>62</v>
          </cell>
          <cell r="L809">
            <v>83</v>
          </cell>
          <cell r="M809">
            <v>5</v>
          </cell>
          <cell r="O809">
            <v>1757</v>
          </cell>
        </row>
        <row r="810">
          <cell r="B810">
            <v>6172</v>
          </cell>
          <cell r="C810">
            <v>1701</v>
          </cell>
          <cell r="D810">
            <v>119</v>
          </cell>
          <cell r="E810">
            <v>27</v>
          </cell>
          <cell r="F810">
            <v>18</v>
          </cell>
          <cell r="G810">
            <v>22</v>
          </cell>
          <cell r="H810">
            <v>47</v>
          </cell>
          <cell r="I810">
            <v>290</v>
          </cell>
          <cell r="J810">
            <v>121</v>
          </cell>
          <cell r="L810">
            <v>75</v>
          </cell>
          <cell r="M810">
            <v>1</v>
          </cell>
          <cell r="O810">
            <v>1749</v>
          </cell>
        </row>
        <row r="811">
          <cell r="B811">
            <v>10108</v>
          </cell>
          <cell r="C811">
            <v>2542</v>
          </cell>
          <cell r="D811">
            <v>111</v>
          </cell>
          <cell r="E811">
            <v>23</v>
          </cell>
          <cell r="F811">
            <v>10</v>
          </cell>
          <cell r="G811">
            <v>38</v>
          </cell>
          <cell r="H811">
            <v>90</v>
          </cell>
          <cell r="I811">
            <v>851</v>
          </cell>
          <cell r="J811">
            <v>252</v>
          </cell>
          <cell r="L811">
            <v>71</v>
          </cell>
          <cell r="M811">
            <v>28</v>
          </cell>
          <cell r="O811">
            <v>1596</v>
          </cell>
        </row>
        <row r="812">
          <cell r="B812">
            <v>7349</v>
          </cell>
          <cell r="C812">
            <v>1770</v>
          </cell>
          <cell r="D812">
            <v>133</v>
          </cell>
          <cell r="E812">
            <v>52</v>
          </cell>
          <cell r="F812">
            <v>41</v>
          </cell>
          <cell r="G812">
            <v>19</v>
          </cell>
          <cell r="H812">
            <v>35</v>
          </cell>
          <cell r="I812">
            <v>568</v>
          </cell>
          <cell r="J812">
            <v>85</v>
          </cell>
          <cell r="L812">
            <v>90</v>
          </cell>
          <cell r="M812">
            <v>1</v>
          </cell>
          <cell r="O812">
            <v>2231</v>
          </cell>
        </row>
        <row r="813">
          <cell r="B813">
            <v>4535</v>
          </cell>
          <cell r="C813">
            <v>1340</v>
          </cell>
          <cell r="D813">
            <v>140</v>
          </cell>
          <cell r="E813">
            <v>5</v>
          </cell>
          <cell r="F813">
            <v>28</v>
          </cell>
          <cell r="G813">
            <v>4</v>
          </cell>
          <cell r="H813">
            <v>8</v>
          </cell>
          <cell r="I813">
            <v>14</v>
          </cell>
          <cell r="J813">
            <v>12</v>
          </cell>
          <cell r="L813">
            <v>65</v>
          </cell>
          <cell r="M813">
            <v>0</v>
          </cell>
          <cell r="O813">
            <v>540</v>
          </cell>
        </row>
        <row r="814">
          <cell r="B814">
            <v>2993</v>
          </cell>
          <cell r="C814">
            <v>1215</v>
          </cell>
          <cell r="D814">
            <v>104</v>
          </cell>
          <cell r="E814">
            <v>5</v>
          </cell>
          <cell r="F814">
            <v>25</v>
          </cell>
          <cell r="G814">
            <v>2</v>
          </cell>
          <cell r="H814">
            <v>3</v>
          </cell>
          <cell r="I814">
            <v>2</v>
          </cell>
          <cell r="J814">
            <v>3</v>
          </cell>
          <cell r="L814">
            <v>57</v>
          </cell>
          <cell r="M814">
            <v>0</v>
          </cell>
          <cell r="O814">
            <v>1549</v>
          </cell>
        </row>
        <row r="815">
          <cell r="B815">
            <v>2088</v>
          </cell>
          <cell r="C815">
            <v>850</v>
          </cell>
          <cell r="D815">
            <v>118</v>
          </cell>
          <cell r="E815">
            <v>5</v>
          </cell>
          <cell r="F815">
            <v>29</v>
          </cell>
          <cell r="G815">
            <v>1</v>
          </cell>
          <cell r="H815">
            <v>1</v>
          </cell>
          <cell r="I815">
            <v>4</v>
          </cell>
          <cell r="J815">
            <v>0</v>
          </cell>
          <cell r="L815">
            <v>48</v>
          </cell>
          <cell r="M815">
            <v>0</v>
          </cell>
          <cell r="O815">
            <v>1598</v>
          </cell>
        </row>
        <row r="816">
          <cell r="B816">
            <v>1829</v>
          </cell>
          <cell r="C816">
            <v>854</v>
          </cell>
          <cell r="D816">
            <v>86</v>
          </cell>
          <cell r="E816">
            <v>0</v>
          </cell>
          <cell r="F816">
            <v>18</v>
          </cell>
          <cell r="G816">
            <v>0</v>
          </cell>
          <cell r="H816">
            <v>0</v>
          </cell>
          <cell r="I816">
            <v>0</v>
          </cell>
          <cell r="J816">
            <v>0</v>
          </cell>
          <cell r="L816">
            <v>34</v>
          </cell>
          <cell r="M816">
            <v>0</v>
          </cell>
          <cell r="O816">
            <v>899</v>
          </cell>
        </row>
        <row r="817">
          <cell r="B817">
            <v>47739</v>
          </cell>
          <cell r="C817">
            <v>15222</v>
          </cell>
          <cell r="D817">
            <v>1274</v>
          </cell>
          <cell r="E817">
            <v>129</v>
          </cell>
          <cell r="F817">
            <v>255</v>
          </cell>
          <cell r="G817">
            <v>91</v>
          </cell>
          <cell r="H817">
            <v>199</v>
          </cell>
          <cell r="I817">
            <v>1746</v>
          </cell>
          <cell r="J817">
            <v>541</v>
          </cell>
          <cell r="L817">
            <v>706</v>
          </cell>
          <cell r="M817">
            <v>35</v>
          </cell>
          <cell r="O817">
            <v>16272</v>
          </cell>
        </row>
        <row r="818">
          <cell r="B818">
            <v>46014</v>
          </cell>
          <cell r="C818">
            <v>14785</v>
          </cell>
          <cell r="D818">
            <v>1213</v>
          </cell>
          <cell r="E818">
            <v>97</v>
          </cell>
          <cell r="F818">
            <v>255</v>
          </cell>
          <cell r="G818">
            <v>76</v>
          </cell>
          <cell r="H818">
            <v>221</v>
          </cell>
          <cell r="I818">
            <v>1701</v>
          </cell>
          <cell r="J818">
            <v>446</v>
          </cell>
          <cell r="L818">
            <v>703</v>
          </cell>
          <cell r="M818">
            <v>24</v>
          </cell>
          <cell r="O818">
            <v>16740.5</v>
          </cell>
        </row>
        <row r="828">
          <cell r="B828">
            <v>2976</v>
          </cell>
          <cell r="C828">
            <v>1182</v>
          </cell>
          <cell r="D828">
            <v>86</v>
          </cell>
          <cell r="E828">
            <v>1</v>
          </cell>
          <cell r="F828">
            <v>30</v>
          </cell>
          <cell r="G828">
            <v>5</v>
          </cell>
          <cell r="H828">
            <v>0</v>
          </cell>
          <cell r="I828">
            <v>2</v>
          </cell>
          <cell r="J828">
            <v>4</v>
          </cell>
          <cell r="L828">
            <v>51</v>
          </cell>
          <cell r="M828">
            <v>4</v>
          </cell>
          <cell r="O828">
            <v>1312</v>
          </cell>
        </row>
        <row r="829">
          <cell r="B829">
            <v>4101</v>
          </cell>
          <cell r="C829">
            <v>1358</v>
          </cell>
          <cell r="D829">
            <v>104</v>
          </cell>
          <cell r="E829">
            <v>17</v>
          </cell>
          <cell r="F829">
            <v>26</v>
          </cell>
          <cell r="G829">
            <v>0</v>
          </cell>
          <cell r="H829">
            <v>2</v>
          </cell>
          <cell r="I829">
            <v>26</v>
          </cell>
          <cell r="J829">
            <v>20</v>
          </cell>
          <cell r="L829">
            <v>47</v>
          </cell>
          <cell r="M829">
            <v>3</v>
          </cell>
          <cell r="O829">
            <v>1429</v>
          </cell>
        </row>
        <row r="830">
          <cell r="B830">
            <v>6061</v>
          </cell>
          <cell r="C830">
            <v>1596</v>
          </cell>
          <cell r="D830">
            <v>115</v>
          </cell>
          <cell r="E830">
            <v>29</v>
          </cell>
          <cell r="F830">
            <v>24</v>
          </cell>
          <cell r="G830">
            <v>17</v>
          </cell>
          <cell r="H830">
            <v>48</v>
          </cell>
          <cell r="I830">
            <v>366</v>
          </cell>
          <cell r="J830">
            <v>93</v>
          </cell>
          <cell r="L830">
            <v>42</v>
          </cell>
          <cell r="M830">
            <v>5</v>
          </cell>
          <cell r="O830">
            <v>1883</v>
          </cell>
        </row>
        <row r="831">
          <cell r="B831">
            <v>9847</v>
          </cell>
          <cell r="C831">
            <v>2018</v>
          </cell>
          <cell r="D831">
            <v>94</v>
          </cell>
          <cell r="E831">
            <v>35</v>
          </cell>
          <cell r="F831">
            <v>12</v>
          </cell>
          <cell r="G831">
            <v>39</v>
          </cell>
          <cell r="H831">
            <v>85</v>
          </cell>
          <cell r="I831">
            <v>947</v>
          </cell>
          <cell r="J831">
            <v>262</v>
          </cell>
          <cell r="L831">
            <v>61</v>
          </cell>
          <cell r="M831">
            <v>14</v>
          </cell>
          <cell r="O831">
            <v>2412.5</v>
          </cell>
        </row>
        <row r="832">
          <cell r="B832">
            <v>6817</v>
          </cell>
          <cell r="C832">
            <v>1610</v>
          </cell>
          <cell r="D832">
            <v>129</v>
          </cell>
          <cell r="E832">
            <v>33</v>
          </cell>
          <cell r="F832">
            <v>29</v>
          </cell>
          <cell r="G832">
            <v>18</v>
          </cell>
          <cell r="H832">
            <v>44</v>
          </cell>
          <cell r="I832">
            <v>473</v>
          </cell>
          <cell r="J832">
            <v>102</v>
          </cell>
          <cell r="L832">
            <v>58</v>
          </cell>
          <cell r="M832">
            <v>3</v>
          </cell>
          <cell r="O832">
            <v>2504</v>
          </cell>
        </row>
        <row r="833">
          <cell r="B833">
            <v>3355</v>
          </cell>
          <cell r="C833">
            <v>1302</v>
          </cell>
          <cell r="D833">
            <v>125</v>
          </cell>
          <cell r="E833">
            <v>7</v>
          </cell>
          <cell r="F833">
            <v>30</v>
          </cell>
          <cell r="G833">
            <v>3</v>
          </cell>
          <cell r="H833">
            <v>11</v>
          </cell>
          <cell r="I833">
            <v>13</v>
          </cell>
          <cell r="J833">
            <v>15</v>
          </cell>
          <cell r="L833">
            <v>32</v>
          </cell>
          <cell r="M833">
            <v>4</v>
          </cell>
          <cell r="O833">
            <v>1604</v>
          </cell>
        </row>
        <row r="834">
          <cell r="B834">
            <v>2978</v>
          </cell>
          <cell r="C834">
            <v>1146</v>
          </cell>
          <cell r="D834">
            <v>150</v>
          </cell>
          <cell r="E834">
            <v>5</v>
          </cell>
          <cell r="F834">
            <v>32</v>
          </cell>
          <cell r="G834">
            <v>0</v>
          </cell>
          <cell r="H834">
            <v>1</v>
          </cell>
          <cell r="I834">
            <v>0</v>
          </cell>
          <cell r="J834">
            <v>8</v>
          </cell>
          <cell r="L834">
            <v>24</v>
          </cell>
          <cell r="M834">
            <v>0</v>
          </cell>
          <cell r="O834">
            <v>2013</v>
          </cell>
        </row>
        <row r="835">
          <cell r="B835">
            <v>2316</v>
          </cell>
          <cell r="C835">
            <v>998</v>
          </cell>
          <cell r="D835">
            <v>148</v>
          </cell>
          <cell r="E835">
            <v>2</v>
          </cell>
          <cell r="F835">
            <v>36</v>
          </cell>
          <cell r="G835">
            <v>0</v>
          </cell>
          <cell r="H835">
            <v>0</v>
          </cell>
          <cell r="I835">
            <v>1</v>
          </cell>
          <cell r="J835">
            <v>1</v>
          </cell>
          <cell r="L835">
            <v>14</v>
          </cell>
          <cell r="M835">
            <v>0</v>
          </cell>
          <cell r="O835">
            <v>1898</v>
          </cell>
        </row>
        <row r="836">
          <cell r="B836">
            <v>2232</v>
          </cell>
          <cell r="C836">
            <v>950</v>
          </cell>
          <cell r="D836">
            <v>116</v>
          </cell>
          <cell r="E836">
            <v>0</v>
          </cell>
          <cell r="F836">
            <v>20</v>
          </cell>
          <cell r="G836">
            <v>0</v>
          </cell>
          <cell r="H836">
            <v>0</v>
          </cell>
          <cell r="I836">
            <v>0</v>
          </cell>
          <cell r="J836">
            <v>0</v>
          </cell>
          <cell r="L836">
            <v>17</v>
          </cell>
          <cell r="M836">
            <v>0</v>
          </cell>
          <cell r="O836">
            <v>1202</v>
          </cell>
        </row>
        <row r="837">
          <cell r="B837">
            <v>46367</v>
          </cell>
          <cell r="C837">
            <v>14688</v>
          </cell>
          <cell r="D837">
            <v>1390</v>
          </cell>
          <cell r="E837">
            <v>129</v>
          </cell>
          <cell r="F837">
            <v>281</v>
          </cell>
          <cell r="G837">
            <v>82</v>
          </cell>
          <cell r="H837">
            <v>191</v>
          </cell>
          <cell r="I837">
            <v>1828</v>
          </cell>
          <cell r="J837">
            <v>508</v>
          </cell>
          <cell r="L837">
            <v>404</v>
          </cell>
          <cell r="M837">
            <v>36</v>
          </cell>
          <cell r="O837">
            <v>19860.5</v>
          </cell>
        </row>
        <row r="838">
          <cell r="B838">
            <v>55245</v>
          </cell>
          <cell r="C838">
            <v>14325</v>
          </cell>
          <cell r="D838">
            <v>1392</v>
          </cell>
          <cell r="E838">
            <v>113</v>
          </cell>
          <cell r="F838">
            <v>317</v>
          </cell>
          <cell r="G838">
            <v>80</v>
          </cell>
          <cell r="H838">
            <v>159</v>
          </cell>
          <cell r="I838">
            <v>2453</v>
          </cell>
          <cell r="J838">
            <v>499</v>
          </cell>
          <cell r="L838">
            <v>633</v>
          </cell>
          <cell r="M838">
            <v>36</v>
          </cell>
          <cell r="O838">
            <v>20035</v>
          </cell>
        </row>
        <row r="839">
          <cell r="B839">
            <v>-8878</v>
          </cell>
          <cell r="C839">
            <v>363</v>
          </cell>
          <cell r="D839">
            <v>-2</v>
          </cell>
          <cell r="E839">
            <v>16</v>
          </cell>
          <cell r="F839">
            <v>-36</v>
          </cell>
          <cell r="G839">
            <v>2</v>
          </cell>
          <cell r="H839">
            <v>32</v>
          </cell>
          <cell r="I839">
            <v>-625</v>
          </cell>
          <cell r="J839">
            <v>9</v>
          </cell>
          <cell r="L839">
            <v>-229</v>
          </cell>
          <cell r="M839">
            <v>0</v>
          </cell>
          <cell r="O839">
            <v>-174.5</v>
          </cell>
        </row>
        <row r="850">
          <cell r="B850">
            <v>1039</v>
          </cell>
          <cell r="C850">
            <v>243</v>
          </cell>
          <cell r="D850">
            <v>16</v>
          </cell>
          <cell r="E850">
            <v>3</v>
          </cell>
          <cell r="F850">
            <v>2</v>
          </cell>
          <cell r="G850">
            <v>11</v>
          </cell>
          <cell r="H850">
            <v>13</v>
          </cell>
          <cell r="I850">
            <v>116</v>
          </cell>
          <cell r="J850">
            <v>26</v>
          </cell>
          <cell r="L850">
            <v>9</v>
          </cell>
          <cell r="M850">
            <v>2</v>
          </cell>
          <cell r="O850">
            <v>157</v>
          </cell>
        </row>
        <row r="851">
          <cell r="B851">
            <v>3512</v>
          </cell>
          <cell r="C851">
            <v>731</v>
          </cell>
          <cell r="D851">
            <v>50</v>
          </cell>
          <cell r="E851">
            <v>11</v>
          </cell>
          <cell r="F851">
            <v>1</v>
          </cell>
          <cell r="G851">
            <v>25</v>
          </cell>
          <cell r="H851">
            <v>41</v>
          </cell>
          <cell r="I851">
            <v>559</v>
          </cell>
          <cell r="J851">
            <v>128</v>
          </cell>
          <cell r="L851">
            <v>25</v>
          </cell>
          <cell r="M851">
            <v>19</v>
          </cell>
          <cell r="O851">
            <v>773</v>
          </cell>
        </row>
        <row r="852">
          <cell r="B852">
            <v>1602</v>
          </cell>
          <cell r="C852">
            <v>320</v>
          </cell>
          <cell r="D852">
            <v>30</v>
          </cell>
          <cell r="E852">
            <v>8</v>
          </cell>
          <cell r="F852">
            <v>1</v>
          </cell>
          <cell r="G852">
            <v>8</v>
          </cell>
          <cell r="H852">
            <v>17</v>
          </cell>
          <cell r="I852">
            <v>272</v>
          </cell>
          <cell r="J852">
            <v>47</v>
          </cell>
          <cell r="L852">
            <v>10</v>
          </cell>
          <cell r="M852">
            <v>0</v>
          </cell>
          <cell r="O852">
            <v>354</v>
          </cell>
        </row>
        <row r="857">
          <cell r="B857">
            <v>6153</v>
          </cell>
          <cell r="C857">
            <v>1294</v>
          </cell>
          <cell r="D857">
            <v>96</v>
          </cell>
          <cell r="E857">
            <v>22</v>
          </cell>
          <cell r="F857">
            <v>4</v>
          </cell>
          <cell r="G857">
            <v>44</v>
          </cell>
          <cell r="H857">
            <v>71</v>
          </cell>
          <cell r="I857">
            <v>947</v>
          </cell>
          <cell r="J857">
            <v>201</v>
          </cell>
          <cell r="L857">
            <v>44</v>
          </cell>
          <cell r="M857">
            <v>21</v>
          </cell>
          <cell r="O857">
            <v>1284</v>
          </cell>
        </row>
        <row r="858">
          <cell r="B858">
            <v>6481</v>
          </cell>
          <cell r="C858">
            <v>1369</v>
          </cell>
          <cell r="D858">
            <v>92</v>
          </cell>
          <cell r="E858">
            <v>19</v>
          </cell>
          <cell r="F858">
            <v>9</v>
          </cell>
          <cell r="G858">
            <v>50</v>
          </cell>
          <cell r="H858">
            <v>59</v>
          </cell>
          <cell r="I858">
            <v>1066</v>
          </cell>
          <cell r="J858">
            <v>188</v>
          </cell>
          <cell r="L858">
            <v>68</v>
          </cell>
          <cell r="M858">
            <v>13</v>
          </cell>
          <cell r="O858">
            <v>2068</v>
          </cell>
        </row>
        <row r="859">
          <cell r="B859">
            <v>-328</v>
          </cell>
          <cell r="C859">
            <v>-75</v>
          </cell>
          <cell r="D859">
            <v>4</v>
          </cell>
          <cell r="E859">
            <v>3</v>
          </cell>
          <cell r="F859">
            <v>-5</v>
          </cell>
          <cell r="G859">
            <v>-6</v>
          </cell>
          <cell r="H859">
            <v>12</v>
          </cell>
          <cell r="I859">
            <v>-119</v>
          </cell>
          <cell r="J859">
            <v>13</v>
          </cell>
          <cell r="L859">
            <v>-24</v>
          </cell>
          <cell r="M859">
            <v>8</v>
          </cell>
          <cell r="O859">
            <v>-784</v>
          </cell>
        </row>
        <row r="891">
          <cell r="B891">
            <v>10029</v>
          </cell>
          <cell r="C891">
            <v>2314</v>
          </cell>
          <cell r="D891">
            <v>111</v>
          </cell>
          <cell r="E891">
            <v>21</v>
          </cell>
          <cell r="F891">
            <v>23</v>
          </cell>
          <cell r="G891">
            <v>34</v>
          </cell>
          <cell r="H891">
            <v>111</v>
          </cell>
          <cell r="I891">
            <v>1171</v>
          </cell>
          <cell r="J891">
            <v>200</v>
          </cell>
          <cell r="L891">
            <v>100</v>
          </cell>
          <cell r="M891">
            <v>7</v>
          </cell>
          <cell r="O891">
            <v>2310</v>
          </cell>
        </row>
        <row r="892">
          <cell r="B892">
            <v>6416</v>
          </cell>
          <cell r="C892">
            <v>1681</v>
          </cell>
          <cell r="D892">
            <v>102</v>
          </cell>
          <cell r="E892">
            <v>31</v>
          </cell>
          <cell r="F892">
            <v>25</v>
          </cell>
          <cell r="G892">
            <v>24</v>
          </cell>
          <cell r="H892">
            <v>34</v>
          </cell>
          <cell r="I892">
            <v>396</v>
          </cell>
          <cell r="J892">
            <v>70</v>
          </cell>
          <cell r="L892">
            <v>84</v>
          </cell>
          <cell r="M892">
            <v>7</v>
          </cell>
          <cell r="O892">
            <v>1264</v>
          </cell>
        </row>
        <row r="893">
          <cell r="B893">
            <v>3535</v>
          </cell>
          <cell r="C893">
            <v>1529</v>
          </cell>
          <cell r="D893">
            <v>125</v>
          </cell>
          <cell r="E893">
            <v>7</v>
          </cell>
          <cell r="F893">
            <v>21</v>
          </cell>
          <cell r="G893">
            <v>1</v>
          </cell>
          <cell r="H893">
            <v>13</v>
          </cell>
          <cell r="I893">
            <v>12</v>
          </cell>
          <cell r="J893">
            <v>14</v>
          </cell>
          <cell r="L893">
            <v>93</v>
          </cell>
          <cell r="M893">
            <v>0</v>
          </cell>
          <cell r="O893">
            <v>1960</v>
          </cell>
        </row>
        <row r="894">
          <cell r="B894">
            <v>3117</v>
          </cell>
          <cell r="C894">
            <v>1389</v>
          </cell>
          <cell r="D894">
            <v>117</v>
          </cell>
          <cell r="E894">
            <v>2</v>
          </cell>
          <cell r="F894">
            <v>21</v>
          </cell>
          <cell r="G894">
            <v>0</v>
          </cell>
          <cell r="H894">
            <v>1</v>
          </cell>
          <cell r="I894">
            <v>0</v>
          </cell>
          <cell r="J894">
            <v>4</v>
          </cell>
          <cell r="L894">
            <v>73</v>
          </cell>
          <cell r="M894">
            <v>5</v>
          </cell>
          <cell r="O894">
            <v>1610</v>
          </cell>
        </row>
        <row r="895">
          <cell r="B895">
            <v>2197</v>
          </cell>
          <cell r="C895">
            <v>1038</v>
          </cell>
          <cell r="D895">
            <v>88</v>
          </cell>
          <cell r="E895">
            <v>0</v>
          </cell>
          <cell r="F895">
            <v>16</v>
          </cell>
          <cell r="G895">
            <v>0</v>
          </cell>
          <cell r="H895">
            <v>2</v>
          </cell>
          <cell r="I895">
            <v>0</v>
          </cell>
          <cell r="J895">
            <v>1</v>
          </cell>
          <cell r="L895">
            <v>42</v>
          </cell>
          <cell r="M895">
            <v>0</v>
          </cell>
          <cell r="O895">
            <v>1225</v>
          </cell>
        </row>
        <row r="896">
          <cell r="B896">
            <v>2154</v>
          </cell>
          <cell r="C896">
            <v>1090</v>
          </cell>
          <cell r="D896">
            <v>84</v>
          </cell>
          <cell r="E896">
            <v>0</v>
          </cell>
          <cell r="F896">
            <v>18</v>
          </cell>
          <cell r="G896">
            <v>0</v>
          </cell>
          <cell r="H896">
            <v>0</v>
          </cell>
          <cell r="I896">
            <v>0</v>
          </cell>
          <cell r="J896">
            <v>0</v>
          </cell>
          <cell r="L896">
            <v>20</v>
          </cell>
          <cell r="M896">
            <v>0</v>
          </cell>
          <cell r="O896">
            <v>1093</v>
          </cell>
        </row>
        <row r="897">
          <cell r="B897">
            <v>45296</v>
          </cell>
          <cell r="C897">
            <v>15621</v>
          </cell>
          <cell r="D897">
            <v>1239</v>
          </cell>
          <cell r="E897">
            <v>91</v>
          </cell>
          <cell r="F897">
            <v>249</v>
          </cell>
          <cell r="G897">
            <v>87</v>
          </cell>
          <cell r="H897">
            <v>240</v>
          </cell>
          <cell r="I897">
            <v>2063</v>
          </cell>
          <cell r="J897">
            <v>438</v>
          </cell>
          <cell r="L897">
            <v>782</v>
          </cell>
          <cell r="M897">
            <v>23</v>
          </cell>
          <cell r="O897">
            <v>17278</v>
          </cell>
        </row>
        <row r="898">
          <cell r="B898">
            <v>47739</v>
          </cell>
          <cell r="C898">
            <v>15222</v>
          </cell>
          <cell r="D898">
            <v>1274</v>
          </cell>
          <cell r="E898">
            <v>129</v>
          </cell>
          <cell r="F898">
            <v>255</v>
          </cell>
          <cell r="G898">
            <v>91</v>
          </cell>
          <cell r="H898">
            <v>199</v>
          </cell>
          <cell r="I898">
            <v>1746</v>
          </cell>
          <cell r="J898">
            <v>541</v>
          </cell>
          <cell r="L898">
            <v>706</v>
          </cell>
          <cell r="M898">
            <v>35</v>
          </cell>
          <cell r="O898">
            <v>16272</v>
          </cell>
        </row>
        <row r="899">
          <cell r="B899">
            <v>-2443</v>
          </cell>
          <cell r="C899">
            <v>399</v>
          </cell>
          <cell r="D899">
            <v>-35</v>
          </cell>
          <cell r="E899">
            <v>-38</v>
          </cell>
          <cell r="F899">
            <v>-6</v>
          </cell>
          <cell r="G899">
            <v>-4</v>
          </cell>
          <cell r="H899">
            <v>41</v>
          </cell>
          <cell r="I899">
            <v>317</v>
          </cell>
          <cell r="J899">
            <v>-103</v>
          </cell>
          <cell r="L899">
            <v>76</v>
          </cell>
          <cell r="M899">
            <v>-12</v>
          </cell>
          <cell r="O899">
            <v>1006</v>
          </cell>
        </row>
      </sheetData>
      <sheetData sheetId="11"/>
      <sheetData sheetId="12"/>
      <sheetData sheetId="13"/>
      <sheetData sheetId="14"/>
      <sheetData sheetId="16"/>
      <sheetData sheetId="17"/>
      <sheetData sheetId="18"/>
      <sheetData sheetId="19"/>
      <sheetData sheetId="20"/>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7:X71"/>
  <sheetViews>
    <sheetView topLeftCell="A25" zoomScaleNormal="100" workbookViewId="0">
      <selection activeCell="J75" sqref="J75"/>
    </sheetView>
  </sheetViews>
  <sheetFormatPr defaultRowHeight="12.75" customHeight="1" x14ac:dyDescent="0.25"/>
  <cols>
    <col min="1" max="1" width="10.453125" customWidth="1"/>
    <col min="2" max="2" width="6.90625" customWidth="1"/>
    <col min="3" max="13" width="7.08984375" customWidth="1"/>
    <col min="14" max="14" width="8.90625" customWidth="1"/>
    <col min="15" max="15" width="11.90625" customWidth="1"/>
    <col min="16" max="16" width="7.6328125" customWidth="1"/>
    <col min="17" max="17" width="9.453125" customWidth="1"/>
    <col min="18" max="18" width="9.36328125" customWidth="1"/>
    <col min="19" max="19" width="10.453125" customWidth="1"/>
    <col min="21" max="21" width="10.6328125" customWidth="1"/>
    <col min="22" max="22" width="8" customWidth="1"/>
    <col min="30" max="30" width="9.08984375" customWidth="1"/>
  </cols>
  <sheetData>
    <row r="7" spans="1:24" ht="13" x14ac:dyDescent="0.3">
      <c r="A7" s="1" t="s">
        <v>0</v>
      </c>
      <c r="B7" s="2" t="s">
        <v>1</v>
      </c>
      <c r="C7" s="73" t="s">
        <v>75</v>
      </c>
      <c r="D7" s="73" t="s">
        <v>52</v>
      </c>
      <c r="E7" s="73" t="s">
        <v>53</v>
      </c>
      <c r="F7" s="2" t="s">
        <v>76</v>
      </c>
      <c r="G7" s="2" t="s">
        <v>4</v>
      </c>
      <c r="H7" s="73" t="s">
        <v>5</v>
      </c>
      <c r="I7" s="2" t="s">
        <v>74</v>
      </c>
      <c r="J7" s="73" t="s">
        <v>46</v>
      </c>
      <c r="K7" s="73" t="s">
        <v>58</v>
      </c>
      <c r="L7" s="73" t="s">
        <v>47</v>
      </c>
      <c r="M7" s="199" t="s">
        <v>77</v>
      </c>
      <c r="N7" s="200" t="s">
        <v>7</v>
      </c>
      <c r="O7" s="1" t="s">
        <v>8</v>
      </c>
      <c r="P7" s="199" t="s">
        <v>10</v>
      </c>
      <c r="Q7" s="2" t="s">
        <v>1</v>
      </c>
      <c r="R7" s="2" t="s">
        <v>9</v>
      </c>
      <c r="T7" s="163" t="s">
        <v>94</v>
      </c>
      <c r="U7" s="163" t="s">
        <v>95</v>
      </c>
      <c r="V7" s="164"/>
      <c r="W7" s="163" t="s">
        <v>87</v>
      </c>
      <c r="X7" s="163" t="s">
        <v>88</v>
      </c>
    </row>
    <row r="8" spans="1:24" ht="13" x14ac:dyDescent="0.3">
      <c r="A8" t="s">
        <v>11</v>
      </c>
      <c r="B8" s="10">
        <v>295</v>
      </c>
      <c r="C8" s="10">
        <v>147</v>
      </c>
      <c r="D8" s="10">
        <v>7</v>
      </c>
      <c r="E8" s="10">
        <v>2</v>
      </c>
      <c r="F8" s="10">
        <v>7</v>
      </c>
      <c r="G8" s="10">
        <v>0</v>
      </c>
      <c r="H8" s="10">
        <v>45</v>
      </c>
      <c r="I8" s="10">
        <v>0</v>
      </c>
      <c r="J8" s="10">
        <v>0</v>
      </c>
      <c r="K8" s="10">
        <v>0</v>
      </c>
      <c r="L8" s="10">
        <v>0</v>
      </c>
      <c r="M8" s="14">
        <v>0</v>
      </c>
      <c r="N8" s="27">
        <v>0</v>
      </c>
      <c r="O8" s="10">
        <f>SUM(C8:M8)</f>
        <v>208</v>
      </c>
      <c r="P8" s="198">
        <f>(F8*10)+(H8*8)</f>
        <v>430</v>
      </c>
      <c r="Q8" s="172">
        <v>0.27155172413793105</v>
      </c>
      <c r="R8" s="173">
        <v>0.23076923076923078</v>
      </c>
      <c r="T8" s="143">
        <v>63</v>
      </c>
      <c r="U8" s="143">
        <v>39</v>
      </c>
      <c r="W8" s="12">
        <v>232</v>
      </c>
      <c r="X8" s="12">
        <v>169</v>
      </c>
    </row>
    <row r="9" spans="1:24" ht="13" x14ac:dyDescent="0.3">
      <c r="A9" t="s">
        <v>12</v>
      </c>
      <c r="B9" s="10">
        <v>289</v>
      </c>
      <c r="C9" s="10">
        <v>151</v>
      </c>
      <c r="D9" s="10">
        <v>4</v>
      </c>
      <c r="E9" s="10">
        <v>1</v>
      </c>
      <c r="F9" s="10">
        <v>14</v>
      </c>
      <c r="G9" s="10">
        <v>0</v>
      </c>
      <c r="H9" s="10">
        <v>1</v>
      </c>
      <c r="I9" s="10">
        <v>0</v>
      </c>
      <c r="J9" s="10">
        <v>0</v>
      </c>
      <c r="K9" s="10">
        <v>0</v>
      </c>
      <c r="L9" s="10">
        <v>0</v>
      </c>
      <c r="M9" s="14">
        <v>0</v>
      </c>
      <c r="N9" s="27">
        <v>0</v>
      </c>
      <c r="O9" s="10">
        <f t="shared" ref="O9:O19" si="0">SUM(C9:M9)</f>
        <v>171</v>
      </c>
      <c r="P9" s="198">
        <f t="shared" ref="P9:P19" si="1">(F9*10)+(H9*8)</f>
        <v>148</v>
      </c>
      <c r="Q9" s="174">
        <v>-0.10802469135802469</v>
      </c>
      <c r="R9" s="175">
        <v>-1.1560693641618497E-2</v>
      </c>
      <c r="T9" s="143">
        <v>-35</v>
      </c>
      <c r="U9" s="143">
        <v>-2</v>
      </c>
      <c r="V9" s="79"/>
      <c r="W9" s="12">
        <v>324</v>
      </c>
      <c r="X9" s="12">
        <v>173</v>
      </c>
    </row>
    <row r="10" spans="1:24" ht="13" x14ac:dyDescent="0.3">
      <c r="A10" t="s">
        <v>13</v>
      </c>
      <c r="B10" s="10">
        <v>395</v>
      </c>
      <c r="C10" s="10">
        <v>217</v>
      </c>
      <c r="D10" s="10">
        <v>5</v>
      </c>
      <c r="E10" s="10">
        <v>1</v>
      </c>
      <c r="F10" s="10">
        <v>8</v>
      </c>
      <c r="G10" s="10">
        <v>0</v>
      </c>
      <c r="H10" s="10">
        <v>7</v>
      </c>
      <c r="I10" s="10">
        <v>0</v>
      </c>
      <c r="J10" s="10">
        <v>0</v>
      </c>
      <c r="K10" s="10">
        <v>0</v>
      </c>
      <c r="L10" s="10">
        <v>7</v>
      </c>
      <c r="M10" s="14">
        <v>1</v>
      </c>
      <c r="N10" s="27">
        <v>0</v>
      </c>
      <c r="O10" s="10">
        <f t="shared" si="0"/>
        <v>246</v>
      </c>
      <c r="P10" s="198">
        <f t="shared" si="1"/>
        <v>136</v>
      </c>
      <c r="Q10" s="174">
        <v>0.16519174041297935</v>
      </c>
      <c r="R10" s="175">
        <v>0.36666666666666664</v>
      </c>
      <c r="T10" s="143">
        <v>56</v>
      </c>
      <c r="U10" s="143">
        <v>66</v>
      </c>
      <c r="W10" s="12">
        <v>339</v>
      </c>
      <c r="X10" s="12">
        <v>180</v>
      </c>
    </row>
    <row r="11" spans="1:24" ht="13" x14ac:dyDescent="0.3">
      <c r="A11" s="88" t="s">
        <v>14</v>
      </c>
      <c r="B11" s="71">
        <v>557</v>
      </c>
      <c r="C11" s="71">
        <v>294</v>
      </c>
      <c r="D11" s="71">
        <v>12</v>
      </c>
      <c r="E11" s="71">
        <v>1</v>
      </c>
      <c r="F11" s="71">
        <v>21</v>
      </c>
      <c r="G11" s="71">
        <v>0</v>
      </c>
      <c r="H11" s="71">
        <v>11</v>
      </c>
      <c r="I11" s="71">
        <v>0</v>
      </c>
      <c r="J11" s="71">
        <v>2</v>
      </c>
      <c r="K11" s="71">
        <v>4</v>
      </c>
      <c r="L11" s="71">
        <v>10</v>
      </c>
      <c r="M11" s="76">
        <v>0</v>
      </c>
      <c r="N11" s="27">
        <v>1</v>
      </c>
      <c r="O11" s="10">
        <f t="shared" si="0"/>
        <v>355</v>
      </c>
      <c r="P11" s="198">
        <f t="shared" si="1"/>
        <v>298</v>
      </c>
      <c r="Q11" s="174">
        <v>0.51358695652173914</v>
      </c>
      <c r="R11" s="175">
        <v>0.67452830188679247</v>
      </c>
      <c r="S11" s="79"/>
      <c r="T11" s="143">
        <v>189</v>
      </c>
      <c r="U11" s="143">
        <v>143</v>
      </c>
      <c r="W11" s="12">
        <v>368</v>
      </c>
      <c r="X11" s="12">
        <v>212</v>
      </c>
    </row>
    <row r="12" spans="1:24" ht="13" x14ac:dyDescent="0.3">
      <c r="A12" t="s">
        <v>15</v>
      </c>
      <c r="B12" s="10">
        <v>618</v>
      </c>
      <c r="C12" s="10">
        <v>254</v>
      </c>
      <c r="D12" s="10">
        <v>7</v>
      </c>
      <c r="E12" s="10">
        <v>6</v>
      </c>
      <c r="F12" s="10">
        <v>27</v>
      </c>
      <c r="G12" s="10">
        <v>0</v>
      </c>
      <c r="H12" s="10">
        <v>20</v>
      </c>
      <c r="I12" s="10">
        <v>1</v>
      </c>
      <c r="J12" s="10">
        <v>0</v>
      </c>
      <c r="K12" s="10">
        <v>5</v>
      </c>
      <c r="L12" s="10">
        <v>2</v>
      </c>
      <c r="M12" s="14">
        <v>3</v>
      </c>
      <c r="N12" s="27">
        <v>2</v>
      </c>
      <c r="O12" s="10">
        <f t="shared" si="0"/>
        <v>325</v>
      </c>
      <c r="P12" s="198">
        <f t="shared" si="1"/>
        <v>430</v>
      </c>
      <c r="Q12" s="174">
        <v>0.17938931297709923</v>
      </c>
      <c r="R12" s="175">
        <v>0.17753623188405798</v>
      </c>
      <c r="T12" s="143">
        <v>94</v>
      </c>
      <c r="U12" s="143">
        <v>49</v>
      </c>
      <c r="W12" s="12">
        <v>524</v>
      </c>
      <c r="X12" s="12">
        <v>276</v>
      </c>
    </row>
    <row r="13" spans="1:24" ht="13" x14ac:dyDescent="0.3">
      <c r="A13" t="s">
        <v>16</v>
      </c>
      <c r="B13" s="10">
        <v>1050</v>
      </c>
      <c r="C13" s="10">
        <v>405</v>
      </c>
      <c r="D13" s="10">
        <v>12</v>
      </c>
      <c r="E13" s="10">
        <v>0</v>
      </c>
      <c r="F13" s="10">
        <v>45</v>
      </c>
      <c r="G13" s="10">
        <v>0</v>
      </c>
      <c r="H13" s="10">
        <v>24</v>
      </c>
      <c r="I13" s="10">
        <v>1</v>
      </c>
      <c r="J13" s="10">
        <v>2</v>
      </c>
      <c r="K13" s="10">
        <v>56</v>
      </c>
      <c r="L13" s="10">
        <v>7</v>
      </c>
      <c r="M13" s="14">
        <v>0</v>
      </c>
      <c r="N13" s="27">
        <v>2</v>
      </c>
      <c r="O13" s="10">
        <f t="shared" si="0"/>
        <v>552</v>
      </c>
      <c r="P13" s="198">
        <f t="shared" si="1"/>
        <v>642</v>
      </c>
      <c r="Q13" s="174">
        <v>0.65615141955835965</v>
      </c>
      <c r="R13" s="175">
        <v>0.65765765765765771</v>
      </c>
      <c r="T13" s="143">
        <v>416</v>
      </c>
      <c r="U13" s="143">
        <v>219</v>
      </c>
      <c r="W13" s="12">
        <v>634</v>
      </c>
      <c r="X13" s="12">
        <v>333</v>
      </c>
    </row>
    <row r="14" spans="1:24" ht="13" x14ac:dyDescent="0.3">
      <c r="A14" t="s">
        <v>17</v>
      </c>
      <c r="B14" s="10">
        <v>1485</v>
      </c>
      <c r="C14" s="10">
        <v>472</v>
      </c>
      <c r="D14" s="10">
        <v>14</v>
      </c>
      <c r="E14" s="10">
        <v>3</v>
      </c>
      <c r="F14" s="10">
        <v>61</v>
      </c>
      <c r="G14" s="10">
        <v>0</v>
      </c>
      <c r="H14" s="10">
        <v>18</v>
      </c>
      <c r="I14" s="10">
        <v>1</v>
      </c>
      <c r="J14" s="10">
        <v>3</v>
      </c>
      <c r="K14" s="10">
        <v>168</v>
      </c>
      <c r="L14" s="10">
        <v>41</v>
      </c>
      <c r="M14" s="14">
        <v>0</v>
      </c>
      <c r="N14" s="27">
        <v>2</v>
      </c>
      <c r="O14" s="10">
        <f t="shared" si="0"/>
        <v>781</v>
      </c>
      <c r="P14" s="198">
        <f t="shared" si="1"/>
        <v>754</v>
      </c>
      <c r="Q14" s="174">
        <v>0.8087697929354446</v>
      </c>
      <c r="R14" s="175">
        <v>0.99234693877551017</v>
      </c>
      <c r="S14" s="79"/>
      <c r="T14" s="143">
        <v>664</v>
      </c>
      <c r="U14" s="143">
        <v>389</v>
      </c>
      <c r="V14" s="79"/>
      <c r="W14" s="12">
        <v>821</v>
      </c>
      <c r="X14" s="12">
        <v>392</v>
      </c>
    </row>
    <row r="15" spans="1:24" ht="13" x14ac:dyDescent="0.3">
      <c r="A15" t="s">
        <v>18</v>
      </c>
      <c r="B15" s="10">
        <v>571</v>
      </c>
      <c r="C15" s="10">
        <v>228</v>
      </c>
      <c r="D15" s="10">
        <v>5</v>
      </c>
      <c r="E15" s="10">
        <v>3</v>
      </c>
      <c r="F15" s="10">
        <v>36</v>
      </c>
      <c r="G15" s="10">
        <v>0</v>
      </c>
      <c r="H15" s="10">
        <v>28</v>
      </c>
      <c r="I15" s="10">
        <v>0</v>
      </c>
      <c r="J15" s="10">
        <v>2</v>
      </c>
      <c r="K15" s="10">
        <v>47</v>
      </c>
      <c r="L15" s="10">
        <v>2</v>
      </c>
      <c r="M15" s="14">
        <v>0</v>
      </c>
      <c r="N15" s="27">
        <v>2</v>
      </c>
      <c r="O15" s="10">
        <f t="shared" si="0"/>
        <v>351</v>
      </c>
      <c r="P15" s="198">
        <f t="shared" si="1"/>
        <v>584</v>
      </c>
      <c r="Q15" s="174">
        <v>-0.22837837837837838</v>
      </c>
      <c r="R15" s="175">
        <v>-3.8356164383561646E-2</v>
      </c>
      <c r="S15" s="79" t="s">
        <v>124</v>
      </c>
      <c r="T15" s="143">
        <v>-169</v>
      </c>
      <c r="U15" s="143">
        <v>-14</v>
      </c>
      <c r="W15" s="12">
        <v>740</v>
      </c>
      <c r="X15" s="12">
        <v>365</v>
      </c>
    </row>
    <row r="16" spans="1:24" ht="13" x14ac:dyDescent="0.3">
      <c r="A16" t="s">
        <v>19</v>
      </c>
      <c r="B16" s="10">
        <v>601</v>
      </c>
      <c r="C16" s="10">
        <v>286</v>
      </c>
      <c r="D16" s="10">
        <v>7</v>
      </c>
      <c r="E16" s="10">
        <v>1</v>
      </c>
      <c r="F16" s="10">
        <v>40</v>
      </c>
      <c r="G16" s="10">
        <v>0</v>
      </c>
      <c r="H16" s="10">
        <v>16</v>
      </c>
      <c r="I16" s="10">
        <v>0</v>
      </c>
      <c r="J16" s="10">
        <v>0</v>
      </c>
      <c r="K16" s="10">
        <v>2</v>
      </c>
      <c r="L16" s="10">
        <v>0</v>
      </c>
      <c r="M16" s="14">
        <v>0</v>
      </c>
      <c r="N16" s="27">
        <v>3</v>
      </c>
      <c r="O16" s="10">
        <f t="shared" si="0"/>
        <v>352</v>
      </c>
      <c r="P16" s="198">
        <f t="shared" si="1"/>
        <v>528</v>
      </c>
      <c r="Q16" s="174">
        <v>0.61559139784946237</v>
      </c>
      <c r="R16" s="175">
        <v>0.51724137931034486</v>
      </c>
      <c r="S16" s="79"/>
      <c r="T16" s="143">
        <v>229</v>
      </c>
      <c r="U16" s="143">
        <v>120</v>
      </c>
      <c r="W16" s="12">
        <v>372</v>
      </c>
      <c r="X16" s="12">
        <v>232</v>
      </c>
    </row>
    <row r="17" spans="1:24" ht="13" x14ac:dyDescent="0.3">
      <c r="A17" t="s">
        <v>20</v>
      </c>
      <c r="B17" s="10">
        <v>603</v>
      </c>
      <c r="C17" s="10">
        <v>271</v>
      </c>
      <c r="D17" s="10">
        <v>24</v>
      </c>
      <c r="E17" s="10">
        <v>2</v>
      </c>
      <c r="F17" s="10">
        <v>40</v>
      </c>
      <c r="G17" s="10">
        <v>0</v>
      </c>
      <c r="H17" s="10">
        <v>20</v>
      </c>
      <c r="I17" s="10">
        <v>0</v>
      </c>
      <c r="J17" s="10">
        <v>6</v>
      </c>
      <c r="K17" s="10">
        <v>0</v>
      </c>
      <c r="L17" s="10">
        <v>6</v>
      </c>
      <c r="M17" s="14">
        <v>0</v>
      </c>
      <c r="N17" s="27">
        <v>2</v>
      </c>
      <c r="O17" s="10">
        <f t="shared" si="0"/>
        <v>369</v>
      </c>
      <c r="P17" s="198">
        <f t="shared" si="1"/>
        <v>560</v>
      </c>
      <c r="Q17" s="174">
        <v>0.92038216560509556</v>
      </c>
      <c r="R17" s="175">
        <v>0.77403846153846156</v>
      </c>
      <c r="T17" s="143">
        <v>289</v>
      </c>
      <c r="U17" s="143">
        <v>161</v>
      </c>
      <c r="W17" s="12">
        <v>314</v>
      </c>
      <c r="X17" s="12">
        <v>208</v>
      </c>
    </row>
    <row r="18" spans="1:24" ht="13" x14ac:dyDescent="0.3">
      <c r="A18" t="s">
        <v>21</v>
      </c>
      <c r="B18" s="10">
        <v>466</v>
      </c>
      <c r="C18" s="10">
        <v>231</v>
      </c>
      <c r="D18" s="10">
        <v>10</v>
      </c>
      <c r="E18" s="10">
        <v>0</v>
      </c>
      <c r="F18" s="10">
        <v>29</v>
      </c>
      <c r="G18">
        <v>0</v>
      </c>
      <c r="H18" s="103">
        <v>43</v>
      </c>
      <c r="I18" s="103">
        <v>0</v>
      </c>
      <c r="J18" s="103">
        <v>0</v>
      </c>
      <c r="K18" s="103">
        <v>0</v>
      </c>
      <c r="L18" s="103">
        <v>0</v>
      </c>
      <c r="M18" s="14">
        <v>1</v>
      </c>
      <c r="N18" s="27">
        <v>2</v>
      </c>
      <c r="O18" s="10">
        <f t="shared" si="0"/>
        <v>314</v>
      </c>
      <c r="P18" s="198">
        <f t="shared" si="1"/>
        <v>634</v>
      </c>
      <c r="Q18" s="174">
        <v>1.0803571428571428</v>
      </c>
      <c r="R18" s="175">
        <v>1.0933333333333333</v>
      </c>
      <c r="T18" s="143">
        <v>242</v>
      </c>
      <c r="U18" s="143">
        <v>164</v>
      </c>
      <c r="W18" s="12">
        <v>224</v>
      </c>
      <c r="X18" s="12">
        <v>150</v>
      </c>
    </row>
    <row r="19" spans="1:24" ht="13" x14ac:dyDescent="0.3">
      <c r="A19" s="4" t="s">
        <v>22</v>
      </c>
      <c r="B19" s="11">
        <v>401</v>
      </c>
      <c r="C19" s="11">
        <v>199</v>
      </c>
      <c r="D19" s="11">
        <v>8</v>
      </c>
      <c r="E19" s="11">
        <v>0</v>
      </c>
      <c r="F19" s="11">
        <v>28</v>
      </c>
      <c r="G19" s="11">
        <v>0</v>
      </c>
      <c r="H19" s="11">
        <v>18</v>
      </c>
      <c r="I19" s="11">
        <v>0</v>
      </c>
      <c r="J19" s="11">
        <v>0</v>
      </c>
      <c r="K19" s="11">
        <v>0</v>
      </c>
      <c r="L19" s="11">
        <v>0</v>
      </c>
      <c r="M19" s="15">
        <v>0</v>
      </c>
      <c r="N19" s="34">
        <v>2</v>
      </c>
      <c r="O19" s="10">
        <f t="shared" si="0"/>
        <v>253</v>
      </c>
      <c r="P19" s="198">
        <f t="shared" si="1"/>
        <v>424</v>
      </c>
      <c r="Q19" s="176">
        <v>0.84792626728110598</v>
      </c>
      <c r="R19" s="177">
        <v>0.72108843537414968</v>
      </c>
      <c r="S19" s="79"/>
      <c r="T19" s="169">
        <v>184</v>
      </c>
      <c r="U19" s="169">
        <v>106</v>
      </c>
      <c r="W19" s="20">
        <v>217</v>
      </c>
      <c r="X19" s="12">
        <v>147</v>
      </c>
    </row>
    <row r="20" spans="1:24" ht="13" x14ac:dyDescent="0.3">
      <c r="A20" s="3" t="s">
        <v>93</v>
      </c>
      <c r="B20" s="8">
        <f>SUM(B8:B19)</f>
        <v>7331</v>
      </c>
      <c r="C20" s="8">
        <f t="shared" ref="C20:P20" si="2">SUM(C8:C19)</f>
        <v>3155</v>
      </c>
      <c r="D20" s="8">
        <f t="shared" si="2"/>
        <v>115</v>
      </c>
      <c r="E20" s="8">
        <f t="shared" si="2"/>
        <v>20</v>
      </c>
      <c r="F20" s="8">
        <f t="shared" si="2"/>
        <v>356</v>
      </c>
      <c r="G20" s="8">
        <f t="shared" si="2"/>
        <v>0</v>
      </c>
      <c r="H20" s="8">
        <f t="shared" si="2"/>
        <v>251</v>
      </c>
      <c r="I20" s="8">
        <f t="shared" si="2"/>
        <v>3</v>
      </c>
      <c r="J20" s="8">
        <f t="shared" si="2"/>
        <v>15</v>
      </c>
      <c r="K20" s="8">
        <f t="shared" si="2"/>
        <v>282</v>
      </c>
      <c r="L20" s="8">
        <f t="shared" si="2"/>
        <v>75</v>
      </c>
      <c r="M20" s="8">
        <f t="shared" si="2"/>
        <v>5</v>
      </c>
      <c r="N20" s="8">
        <f t="shared" si="2"/>
        <v>18</v>
      </c>
      <c r="O20" s="8">
        <f t="shared" si="2"/>
        <v>4277</v>
      </c>
      <c r="P20" s="8">
        <f t="shared" si="2"/>
        <v>5568</v>
      </c>
      <c r="Q20" s="170">
        <v>0.43491877079663338</v>
      </c>
      <c r="R20" s="171">
        <v>0.50757842791681351</v>
      </c>
      <c r="T20" s="140">
        <v>2222</v>
      </c>
      <c r="U20" s="140">
        <v>1440</v>
      </c>
      <c r="W20" s="12">
        <v>5109</v>
      </c>
      <c r="X20" s="12">
        <v>2837</v>
      </c>
    </row>
    <row r="21" spans="1:24" ht="13" x14ac:dyDescent="0.3">
      <c r="A21" s="5" t="s">
        <v>86</v>
      </c>
      <c r="B21" s="9">
        <v>5109</v>
      </c>
      <c r="C21" s="9">
        <v>2116</v>
      </c>
      <c r="D21" s="9">
        <v>85</v>
      </c>
      <c r="E21" s="9">
        <v>12</v>
      </c>
      <c r="F21" s="9">
        <v>213</v>
      </c>
      <c r="G21" s="9">
        <v>2</v>
      </c>
      <c r="H21" s="9">
        <v>163</v>
      </c>
      <c r="I21" s="9">
        <v>0</v>
      </c>
      <c r="J21" s="9">
        <v>11</v>
      </c>
      <c r="K21" s="9">
        <v>220</v>
      </c>
      <c r="L21" s="9">
        <v>10</v>
      </c>
      <c r="M21" s="9">
        <v>5</v>
      </c>
      <c r="N21" s="9">
        <v>16</v>
      </c>
      <c r="O21" s="9">
        <v>2837</v>
      </c>
      <c r="P21" s="9">
        <v>3929</v>
      </c>
      <c r="Q21" s="47"/>
      <c r="R21" s="120"/>
    </row>
    <row r="22" spans="1:24" ht="13" x14ac:dyDescent="0.3">
      <c r="A22" s="5" t="s">
        <v>23</v>
      </c>
      <c r="B22" s="9">
        <f>B20-B21</f>
        <v>2222</v>
      </c>
      <c r="C22" s="9">
        <f t="shared" ref="C22:P22" si="3">C20-C21</f>
        <v>1039</v>
      </c>
      <c r="D22" s="9">
        <f t="shared" si="3"/>
        <v>30</v>
      </c>
      <c r="E22" s="9">
        <f t="shared" si="3"/>
        <v>8</v>
      </c>
      <c r="F22" s="9">
        <f t="shared" si="3"/>
        <v>143</v>
      </c>
      <c r="G22" s="9">
        <f t="shared" si="3"/>
        <v>-2</v>
      </c>
      <c r="H22" s="9">
        <f t="shared" si="3"/>
        <v>88</v>
      </c>
      <c r="I22" s="9">
        <f t="shared" si="3"/>
        <v>3</v>
      </c>
      <c r="J22" s="9">
        <f t="shared" si="3"/>
        <v>4</v>
      </c>
      <c r="K22" s="9">
        <f t="shared" si="3"/>
        <v>62</v>
      </c>
      <c r="L22" s="9">
        <f t="shared" si="3"/>
        <v>65</v>
      </c>
      <c r="M22" s="9">
        <f t="shared" si="3"/>
        <v>0</v>
      </c>
      <c r="N22" s="9">
        <f t="shared" si="3"/>
        <v>2</v>
      </c>
      <c r="O22" s="9">
        <f t="shared" si="3"/>
        <v>1440</v>
      </c>
      <c r="P22" s="9">
        <f t="shared" si="3"/>
        <v>1639</v>
      </c>
      <c r="Q22" s="48"/>
      <c r="R22" s="158"/>
    </row>
    <row r="24" spans="1:24" ht="12.75" customHeight="1" x14ac:dyDescent="0.25">
      <c r="S24" t="s">
        <v>126</v>
      </c>
    </row>
    <row r="30" spans="1:24" ht="12.75" customHeight="1" x14ac:dyDescent="0.3">
      <c r="A30" s="1" t="s">
        <v>0</v>
      </c>
      <c r="B30" s="2" t="s">
        <v>1</v>
      </c>
      <c r="C30" s="73" t="s">
        <v>75</v>
      </c>
      <c r="D30" s="73" t="s">
        <v>52</v>
      </c>
      <c r="E30" s="73" t="s">
        <v>53</v>
      </c>
      <c r="F30" s="2" t="s">
        <v>76</v>
      </c>
      <c r="G30" s="2" t="s">
        <v>4</v>
      </c>
      <c r="H30" s="73" t="s">
        <v>5</v>
      </c>
      <c r="I30" s="2" t="s">
        <v>74</v>
      </c>
      <c r="J30" s="73" t="s">
        <v>46</v>
      </c>
      <c r="K30" s="73" t="s">
        <v>58</v>
      </c>
      <c r="L30" s="73" t="s">
        <v>47</v>
      </c>
      <c r="M30" s="199" t="s">
        <v>77</v>
      </c>
      <c r="N30" s="200" t="s">
        <v>7</v>
      </c>
      <c r="O30" s="1" t="s">
        <v>8</v>
      </c>
      <c r="P30" s="199" t="s">
        <v>10</v>
      </c>
      <c r="Q30" s="2" t="s">
        <v>1</v>
      </c>
      <c r="R30" s="2" t="s">
        <v>9</v>
      </c>
      <c r="T30" s="163" t="s">
        <v>103</v>
      </c>
      <c r="U30" s="163" t="s">
        <v>104</v>
      </c>
      <c r="V30" s="164"/>
      <c r="W30" s="163" t="s">
        <v>94</v>
      </c>
      <c r="X30" s="163" t="s">
        <v>95</v>
      </c>
    </row>
    <row r="31" spans="1:24" ht="12.75" customHeight="1" x14ac:dyDescent="0.3">
      <c r="A31" s="314" t="s">
        <v>11</v>
      </c>
      <c r="B31" s="10">
        <v>331</v>
      </c>
      <c r="C31" s="10">
        <v>215</v>
      </c>
      <c r="D31" s="10">
        <v>14</v>
      </c>
      <c r="E31" s="10">
        <v>0</v>
      </c>
      <c r="F31" s="10">
        <v>8</v>
      </c>
      <c r="G31" s="10">
        <v>0</v>
      </c>
      <c r="H31" s="10">
        <v>17</v>
      </c>
      <c r="I31" s="10">
        <v>0</v>
      </c>
      <c r="J31" s="10">
        <v>1</v>
      </c>
      <c r="K31" s="10">
        <v>0</v>
      </c>
      <c r="L31" s="10">
        <v>0</v>
      </c>
      <c r="M31" s="14">
        <v>1</v>
      </c>
      <c r="N31" s="27">
        <v>0</v>
      </c>
      <c r="O31" s="10">
        <f>SUM(C31:M31)</f>
        <v>256</v>
      </c>
      <c r="P31" s="198">
        <v>87</v>
      </c>
      <c r="Q31" s="172">
        <f>T31/W31</f>
        <v>0.12203389830508475</v>
      </c>
      <c r="R31" s="173">
        <f>U31/X31</f>
        <v>0.23076923076923078</v>
      </c>
      <c r="T31" s="143">
        <f>B31-W31</f>
        <v>36</v>
      </c>
      <c r="U31" s="143">
        <f t="shared" ref="U31:U34" si="4">O31-X31</f>
        <v>48</v>
      </c>
      <c r="W31" s="12">
        <f t="shared" ref="W31:W42" si="5">B8</f>
        <v>295</v>
      </c>
      <c r="X31" s="12">
        <f t="shared" ref="X31:X42" si="6">O8</f>
        <v>208</v>
      </c>
    </row>
    <row r="32" spans="1:24" ht="12.75" customHeight="1" x14ac:dyDescent="0.3">
      <c r="A32" s="314" t="s">
        <v>12</v>
      </c>
      <c r="B32" s="10">
        <v>229</v>
      </c>
      <c r="C32" s="10">
        <v>157</v>
      </c>
      <c r="D32" s="10">
        <v>8</v>
      </c>
      <c r="E32" s="10">
        <v>0</v>
      </c>
      <c r="F32" s="10">
        <v>4</v>
      </c>
      <c r="G32" s="10">
        <v>0</v>
      </c>
      <c r="H32" s="10">
        <v>26</v>
      </c>
      <c r="I32" s="10">
        <v>0</v>
      </c>
      <c r="J32" s="10">
        <v>0</v>
      </c>
      <c r="K32" s="10">
        <v>0</v>
      </c>
      <c r="L32" s="10">
        <v>0</v>
      </c>
      <c r="M32" s="14">
        <v>1</v>
      </c>
      <c r="N32" s="27">
        <v>0</v>
      </c>
      <c r="O32" s="10">
        <f t="shared" ref="O32:O40" si="7">SUM(C32:M32)</f>
        <v>196</v>
      </c>
      <c r="P32" s="80">
        <v>170</v>
      </c>
      <c r="Q32" s="174">
        <f t="shared" ref="Q32:Q40" si="8">T32/W32</f>
        <v>-0.20761245674740483</v>
      </c>
      <c r="R32" s="175">
        <f t="shared" ref="R32:R42" si="9">U32/X32</f>
        <v>0.14619883040935672</v>
      </c>
      <c r="T32" s="143">
        <f>B32-W32</f>
        <v>-60</v>
      </c>
      <c r="U32" s="143">
        <f t="shared" si="4"/>
        <v>25</v>
      </c>
      <c r="V32" s="79"/>
      <c r="W32" s="12">
        <f t="shared" si="5"/>
        <v>289</v>
      </c>
      <c r="X32" s="12">
        <f t="shared" si="6"/>
        <v>171</v>
      </c>
    </row>
    <row r="33" spans="1:24" ht="12.75" customHeight="1" x14ac:dyDescent="0.3">
      <c r="A33" s="314" t="s">
        <v>13</v>
      </c>
      <c r="B33" s="10">
        <v>330</v>
      </c>
      <c r="C33" s="10">
        <v>183</v>
      </c>
      <c r="D33" s="10">
        <v>10</v>
      </c>
      <c r="E33" s="10">
        <v>0</v>
      </c>
      <c r="F33" s="10">
        <v>14</v>
      </c>
      <c r="G33" s="10">
        <v>0</v>
      </c>
      <c r="H33" s="10">
        <v>32</v>
      </c>
      <c r="I33" s="10">
        <v>0</v>
      </c>
      <c r="J33" s="10">
        <v>0</v>
      </c>
      <c r="K33" s="10">
        <v>0</v>
      </c>
      <c r="L33" s="10">
        <v>1</v>
      </c>
      <c r="M33" s="14">
        <v>0</v>
      </c>
      <c r="N33" s="27">
        <v>0</v>
      </c>
      <c r="O33" s="10">
        <f t="shared" si="7"/>
        <v>240</v>
      </c>
      <c r="P33" s="80">
        <v>317</v>
      </c>
      <c r="Q33" s="174">
        <f t="shared" si="8"/>
        <v>-0.16455696202531644</v>
      </c>
      <c r="R33" s="175">
        <f t="shared" si="9"/>
        <v>-2.4390243902439025E-2</v>
      </c>
      <c r="T33" s="143">
        <f t="shared" ref="T33" si="10">B33-W33</f>
        <v>-65</v>
      </c>
      <c r="U33" s="143">
        <f t="shared" si="4"/>
        <v>-6</v>
      </c>
      <c r="W33" s="12">
        <f t="shared" si="5"/>
        <v>395</v>
      </c>
      <c r="X33" s="12">
        <f t="shared" si="6"/>
        <v>246</v>
      </c>
    </row>
    <row r="34" spans="1:24" ht="12.75" customHeight="1" x14ac:dyDescent="0.3">
      <c r="A34" s="315" t="s">
        <v>14</v>
      </c>
      <c r="B34" s="71">
        <v>382</v>
      </c>
      <c r="C34" s="71">
        <v>181</v>
      </c>
      <c r="D34" s="71">
        <v>16</v>
      </c>
      <c r="E34" s="71">
        <v>0</v>
      </c>
      <c r="F34" s="71">
        <v>33</v>
      </c>
      <c r="G34" s="71">
        <v>0</v>
      </c>
      <c r="H34" s="71">
        <v>29</v>
      </c>
      <c r="I34" s="71">
        <v>0</v>
      </c>
      <c r="J34" s="71">
        <v>0</v>
      </c>
      <c r="K34" s="71">
        <v>0</v>
      </c>
      <c r="L34" s="71">
        <v>0</v>
      </c>
      <c r="M34" s="76">
        <v>0</v>
      </c>
      <c r="N34" s="27">
        <v>0</v>
      </c>
      <c r="O34" s="10">
        <f t="shared" si="7"/>
        <v>259</v>
      </c>
      <c r="P34" s="80">
        <v>233</v>
      </c>
      <c r="Q34" s="174">
        <f t="shared" si="8"/>
        <v>-0.31418312387791741</v>
      </c>
      <c r="R34" s="175">
        <f t="shared" si="9"/>
        <v>-0.27042253521126758</v>
      </c>
      <c r="S34" s="79"/>
      <c r="T34" s="143">
        <f>B34-W34</f>
        <v>-175</v>
      </c>
      <c r="U34" s="143">
        <f t="shared" si="4"/>
        <v>-96</v>
      </c>
      <c r="W34" s="12">
        <f t="shared" si="5"/>
        <v>557</v>
      </c>
      <c r="X34" s="12">
        <f t="shared" si="6"/>
        <v>355</v>
      </c>
    </row>
    <row r="35" spans="1:24" ht="12.75" customHeight="1" x14ac:dyDescent="0.3">
      <c r="A35" s="314" t="s">
        <v>15</v>
      </c>
      <c r="B35" s="10">
        <v>606</v>
      </c>
      <c r="C35" s="10">
        <v>294</v>
      </c>
      <c r="D35" s="10">
        <v>11</v>
      </c>
      <c r="E35" s="10">
        <v>6</v>
      </c>
      <c r="F35" s="10">
        <v>34</v>
      </c>
      <c r="G35" s="10">
        <v>0</v>
      </c>
      <c r="H35" s="10">
        <v>37</v>
      </c>
      <c r="I35" s="10">
        <v>0</v>
      </c>
      <c r="J35" s="10">
        <v>3</v>
      </c>
      <c r="K35" s="10">
        <v>13</v>
      </c>
      <c r="L35" s="10">
        <v>0</v>
      </c>
      <c r="M35" s="14">
        <v>1</v>
      </c>
      <c r="N35" s="27">
        <v>0</v>
      </c>
      <c r="O35" s="10">
        <f t="shared" si="7"/>
        <v>399</v>
      </c>
      <c r="P35" s="80">
        <v>430</v>
      </c>
      <c r="Q35" s="174">
        <f t="shared" si="8"/>
        <v>-1.9417475728155338E-2</v>
      </c>
      <c r="R35" s="175">
        <f t="shared" si="9"/>
        <v>0.22769230769230769</v>
      </c>
      <c r="T35" s="143">
        <f>B35-W35</f>
        <v>-12</v>
      </c>
      <c r="U35" s="143">
        <f>O35-X35</f>
        <v>74</v>
      </c>
      <c r="W35" s="12">
        <f t="shared" si="5"/>
        <v>618</v>
      </c>
      <c r="X35" s="12">
        <f t="shared" si="6"/>
        <v>325</v>
      </c>
    </row>
    <row r="36" spans="1:24" ht="12.75" customHeight="1" x14ac:dyDescent="0.3">
      <c r="A36" s="314" t="s">
        <v>16</v>
      </c>
      <c r="B36" s="10">
        <v>730</v>
      </c>
      <c r="C36" s="10">
        <v>290</v>
      </c>
      <c r="D36" s="10">
        <v>14</v>
      </c>
      <c r="E36" s="10">
        <v>1</v>
      </c>
      <c r="F36" s="10">
        <v>56</v>
      </c>
      <c r="G36" s="10">
        <v>0</v>
      </c>
      <c r="H36" s="10">
        <v>19</v>
      </c>
      <c r="I36" s="10">
        <v>0</v>
      </c>
      <c r="J36" s="10">
        <v>2</v>
      </c>
      <c r="K36" s="10">
        <v>45</v>
      </c>
      <c r="L36" s="10">
        <v>5</v>
      </c>
      <c r="M36" s="14">
        <v>3</v>
      </c>
      <c r="N36" s="27">
        <v>3</v>
      </c>
      <c r="O36" s="10">
        <f t="shared" si="7"/>
        <v>435</v>
      </c>
      <c r="P36" s="80">
        <v>429</v>
      </c>
      <c r="Q36" s="174">
        <f t="shared" si="8"/>
        <v>-0.30476190476190479</v>
      </c>
      <c r="R36" s="175">
        <f t="shared" si="9"/>
        <v>-0.21195652173913043</v>
      </c>
      <c r="T36" s="143">
        <f>B36-W36</f>
        <v>-320</v>
      </c>
      <c r="U36" s="143">
        <f>O36-X36</f>
        <v>-117</v>
      </c>
      <c r="W36" s="12">
        <f t="shared" si="5"/>
        <v>1050</v>
      </c>
      <c r="X36" s="12">
        <f t="shared" si="6"/>
        <v>552</v>
      </c>
    </row>
    <row r="37" spans="1:24" ht="12.75" customHeight="1" x14ac:dyDescent="0.3">
      <c r="A37" s="314" t="s">
        <v>17</v>
      </c>
      <c r="B37" s="10">
        <v>1384</v>
      </c>
      <c r="C37" s="10">
        <v>348</v>
      </c>
      <c r="D37" s="10">
        <v>9</v>
      </c>
      <c r="E37" s="10">
        <v>7</v>
      </c>
      <c r="F37" s="10">
        <v>56</v>
      </c>
      <c r="G37" s="10">
        <v>0</v>
      </c>
      <c r="H37" s="10">
        <v>15</v>
      </c>
      <c r="I37" s="10">
        <v>3</v>
      </c>
      <c r="J37" s="10">
        <v>1</v>
      </c>
      <c r="K37" s="10">
        <v>223</v>
      </c>
      <c r="L37" s="10">
        <v>6</v>
      </c>
      <c r="M37" s="14">
        <v>4</v>
      </c>
      <c r="N37" s="27">
        <v>2</v>
      </c>
      <c r="O37" s="10">
        <f t="shared" si="7"/>
        <v>672</v>
      </c>
      <c r="P37" s="80">
        <v>842</v>
      </c>
      <c r="Q37" s="174">
        <f t="shared" si="8"/>
        <v>-6.8013468013468012E-2</v>
      </c>
      <c r="R37" s="175">
        <f t="shared" si="9"/>
        <v>-0.13956466069142126</v>
      </c>
      <c r="S37" s="79"/>
      <c r="T37" s="143">
        <f t="shared" ref="T37:T42" si="11">B37-W37</f>
        <v>-101</v>
      </c>
      <c r="U37" s="143">
        <f t="shared" ref="U37:U42" si="12">O37-X37</f>
        <v>-109</v>
      </c>
      <c r="V37" s="79"/>
      <c r="W37" s="12">
        <f t="shared" si="5"/>
        <v>1485</v>
      </c>
      <c r="X37" s="12">
        <f t="shared" si="6"/>
        <v>781</v>
      </c>
    </row>
    <row r="38" spans="1:24" ht="12.75" customHeight="1" x14ac:dyDescent="0.3">
      <c r="A38" s="314" t="s">
        <v>18</v>
      </c>
      <c r="B38" s="10">
        <v>738</v>
      </c>
      <c r="C38" s="10">
        <v>259</v>
      </c>
      <c r="D38" s="10">
        <v>20</v>
      </c>
      <c r="E38" s="10">
        <v>0</v>
      </c>
      <c r="F38" s="10">
        <v>40</v>
      </c>
      <c r="G38" s="10">
        <v>0</v>
      </c>
      <c r="H38" s="10">
        <v>29</v>
      </c>
      <c r="I38" s="10">
        <v>0</v>
      </c>
      <c r="J38" s="10">
        <v>2</v>
      </c>
      <c r="K38" s="10">
        <v>74</v>
      </c>
      <c r="L38" s="10">
        <v>0</v>
      </c>
      <c r="M38" s="14">
        <v>1</v>
      </c>
      <c r="N38" s="27">
        <v>0</v>
      </c>
      <c r="O38" s="10">
        <f t="shared" si="7"/>
        <v>425</v>
      </c>
      <c r="P38" s="80">
        <v>416</v>
      </c>
      <c r="Q38" s="174">
        <f t="shared" si="8"/>
        <v>0.29246935201401053</v>
      </c>
      <c r="R38" s="175">
        <f t="shared" si="9"/>
        <v>0.21082621082621084</v>
      </c>
      <c r="S38" s="79"/>
      <c r="T38" s="143">
        <f t="shared" si="11"/>
        <v>167</v>
      </c>
      <c r="U38" s="143">
        <f t="shared" si="12"/>
        <v>74</v>
      </c>
      <c r="W38" s="12">
        <f t="shared" si="5"/>
        <v>571</v>
      </c>
      <c r="X38" s="12">
        <f t="shared" si="6"/>
        <v>351</v>
      </c>
    </row>
    <row r="39" spans="1:24" ht="12.75" customHeight="1" x14ac:dyDescent="0.3">
      <c r="A39" s="314" t="s">
        <v>19</v>
      </c>
      <c r="B39" s="10">
        <v>499</v>
      </c>
      <c r="C39" s="10">
        <v>202</v>
      </c>
      <c r="D39" s="10">
        <v>17</v>
      </c>
      <c r="E39" s="10">
        <v>6</v>
      </c>
      <c r="F39" s="10">
        <v>44</v>
      </c>
      <c r="G39" s="10">
        <v>0</v>
      </c>
      <c r="H39" s="10">
        <v>29</v>
      </c>
      <c r="I39" s="10">
        <v>0</v>
      </c>
      <c r="J39" s="10">
        <v>9</v>
      </c>
      <c r="K39" s="10">
        <v>8</v>
      </c>
      <c r="L39" s="10">
        <v>0</v>
      </c>
      <c r="M39" s="14">
        <v>1</v>
      </c>
      <c r="N39" s="27">
        <v>0</v>
      </c>
      <c r="O39" s="10">
        <f t="shared" si="7"/>
        <v>316</v>
      </c>
      <c r="P39" s="80">
        <v>466</v>
      </c>
      <c r="Q39" s="174">
        <f t="shared" si="8"/>
        <v>-0.16971713810316139</v>
      </c>
      <c r="R39" s="175">
        <f t="shared" si="9"/>
        <v>-0.10227272727272728</v>
      </c>
      <c r="S39" s="79"/>
      <c r="T39" s="143">
        <f t="shared" si="11"/>
        <v>-102</v>
      </c>
      <c r="U39" s="143">
        <f t="shared" si="12"/>
        <v>-36</v>
      </c>
      <c r="W39" s="12">
        <f t="shared" si="5"/>
        <v>601</v>
      </c>
      <c r="X39" s="12">
        <f t="shared" si="6"/>
        <v>352</v>
      </c>
    </row>
    <row r="40" spans="1:24" ht="12.75" customHeight="1" x14ac:dyDescent="0.3">
      <c r="A40" s="314" t="s">
        <v>20</v>
      </c>
      <c r="B40" s="10">
        <v>568</v>
      </c>
      <c r="C40" s="10">
        <v>284</v>
      </c>
      <c r="D40" s="10">
        <v>20</v>
      </c>
      <c r="E40" s="10">
        <v>0</v>
      </c>
      <c r="F40" s="10">
        <v>38</v>
      </c>
      <c r="G40" s="10">
        <v>0</v>
      </c>
      <c r="H40" s="10">
        <v>21</v>
      </c>
      <c r="I40" s="10">
        <v>0</v>
      </c>
      <c r="J40" s="10">
        <v>10</v>
      </c>
      <c r="K40" s="10">
        <v>0</v>
      </c>
      <c r="L40" s="10">
        <v>0</v>
      </c>
      <c r="M40" s="14">
        <v>1</v>
      </c>
      <c r="N40" s="27">
        <v>2</v>
      </c>
      <c r="O40" s="10">
        <f t="shared" si="7"/>
        <v>374</v>
      </c>
      <c r="P40" s="80">
        <v>354</v>
      </c>
      <c r="Q40" s="174">
        <f t="shared" si="8"/>
        <v>-5.8043117744610281E-2</v>
      </c>
      <c r="R40" s="175">
        <f t="shared" si="9"/>
        <v>1.3550135501355014E-2</v>
      </c>
      <c r="T40" s="143">
        <f t="shared" si="11"/>
        <v>-35</v>
      </c>
      <c r="U40" s="143">
        <f t="shared" si="12"/>
        <v>5</v>
      </c>
      <c r="W40" s="12">
        <f t="shared" si="5"/>
        <v>603</v>
      </c>
      <c r="X40" s="12">
        <f t="shared" si="6"/>
        <v>369</v>
      </c>
    </row>
    <row r="41" spans="1:24" ht="12.75" customHeight="1" x14ac:dyDescent="0.3">
      <c r="A41" s="314" t="s">
        <v>21</v>
      </c>
      <c r="B41" s="10">
        <v>329</v>
      </c>
      <c r="C41" s="10">
        <v>188</v>
      </c>
      <c r="D41" s="10">
        <v>6</v>
      </c>
      <c r="E41" s="10">
        <v>5</v>
      </c>
      <c r="F41" s="10">
        <v>18</v>
      </c>
      <c r="G41">
        <v>0</v>
      </c>
      <c r="H41" s="103">
        <v>14</v>
      </c>
      <c r="I41" s="103">
        <v>0</v>
      </c>
      <c r="J41" s="103">
        <v>0</v>
      </c>
      <c r="K41" s="103">
        <v>0</v>
      </c>
      <c r="L41" s="103">
        <v>0</v>
      </c>
      <c r="M41" s="14">
        <v>0</v>
      </c>
      <c r="N41" s="27">
        <v>0</v>
      </c>
      <c r="O41" s="10">
        <v>231</v>
      </c>
      <c r="P41" s="80">
        <v>214</v>
      </c>
      <c r="Q41" s="174">
        <f>T41/W41</f>
        <v>-0.29399141630901288</v>
      </c>
      <c r="R41" s="175">
        <f t="shared" si="9"/>
        <v>-0.2643312101910828</v>
      </c>
      <c r="T41" s="143">
        <f t="shared" si="11"/>
        <v>-137</v>
      </c>
      <c r="U41" s="143">
        <f t="shared" si="12"/>
        <v>-83</v>
      </c>
      <c r="W41" s="12">
        <f t="shared" si="5"/>
        <v>466</v>
      </c>
      <c r="X41" s="12">
        <f t="shared" si="6"/>
        <v>314</v>
      </c>
    </row>
    <row r="42" spans="1:24" ht="12.75" customHeight="1" x14ac:dyDescent="0.3">
      <c r="A42" s="4" t="s">
        <v>22</v>
      </c>
      <c r="B42" s="11">
        <v>304</v>
      </c>
      <c r="C42" s="11">
        <v>178</v>
      </c>
      <c r="D42" s="11">
        <v>0</v>
      </c>
      <c r="E42" s="11">
        <v>0</v>
      </c>
      <c r="F42" s="11">
        <v>9</v>
      </c>
      <c r="G42" s="11">
        <v>0</v>
      </c>
      <c r="H42" s="11">
        <v>9</v>
      </c>
      <c r="I42" s="11">
        <v>0</v>
      </c>
      <c r="J42" s="11">
        <v>0</v>
      </c>
      <c r="K42" s="11">
        <v>0</v>
      </c>
      <c r="L42" s="11">
        <v>0</v>
      </c>
      <c r="M42" s="15">
        <v>0</v>
      </c>
      <c r="N42" s="34">
        <v>0</v>
      </c>
      <c r="O42" s="11">
        <v>196</v>
      </c>
      <c r="P42" s="81">
        <v>100</v>
      </c>
      <c r="Q42" s="176">
        <f t="shared" ref="Q42" si="13">T42/W42</f>
        <v>-0.24189526184538654</v>
      </c>
      <c r="R42" s="177">
        <f t="shared" si="9"/>
        <v>-0.22529644268774704</v>
      </c>
      <c r="S42" s="79"/>
      <c r="T42" s="169">
        <f t="shared" si="11"/>
        <v>-97</v>
      </c>
      <c r="U42" s="169">
        <f t="shared" si="12"/>
        <v>-57</v>
      </c>
      <c r="W42" s="20">
        <f t="shared" si="5"/>
        <v>401</v>
      </c>
      <c r="X42" s="20">
        <f t="shared" si="6"/>
        <v>253</v>
      </c>
    </row>
    <row r="43" spans="1:24" ht="12.75" customHeight="1" x14ac:dyDescent="0.3">
      <c r="A43" s="3" t="s">
        <v>106</v>
      </c>
      <c r="B43" s="8">
        <f>SUM(B31:B42)</f>
        <v>6430</v>
      </c>
      <c r="C43" s="8">
        <f t="shared" ref="C43:P43" si="14">SUM(C31:C42)</f>
        <v>2779</v>
      </c>
      <c r="D43" s="8">
        <f t="shared" si="14"/>
        <v>145</v>
      </c>
      <c r="E43" s="8">
        <f t="shared" si="14"/>
        <v>25</v>
      </c>
      <c r="F43" s="8">
        <f t="shared" si="14"/>
        <v>354</v>
      </c>
      <c r="G43" s="8">
        <f t="shared" si="14"/>
        <v>0</v>
      </c>
      <c r="H43" s="8">
        <f t="shared" si="14"/>
        <v>277</v>
      </c>
      <c r="I43" s="8">
        <f t="shared" si="14"/>
        <v>3</v>
      </c>
      <c r="J43" s="8">
        <f t="shared" si="14"/>
        <v>28</v>
      </c>
      <c r="K43" s="8">
        <f t="shared" si="14"/>
        <v>363</v>
      </c>
      <c r="L43" s="8">
        <f t="shared" si="14"/>
        <v>12</v>
      </c>
      <c r="M43" s="8">
        <f t="shared" si="14"/>
        <v>13</v>
      </c>
      <c r="N43" s="8">
        <f t="shared" si="14"/>
        <v>7</v>
      </c>
      <c r="O43" s="8">
        <f t="shared" si="14"/>
        <v>3999</v>
      </c>
      <c r="P43" s="8">
        <f t="shared" si="14"/>
        <v>4058</v>
      </c>
      <c r="Q43" s="170">
        <f>T43/W43</f>
        <v>-0.12290274178147592</v>
      </c>
      <c r="R43" s="171">
        <f>U43/X43</f>
        <v>-6.4998830956277759E-2</v>
      </c>
      <c r="T43" s="140">
        <f>SUM(T31:T42)</f>
        <v>-901</v>
      </c>
      <c r="U43" s="140">
        <f>SUM(U31:U42)</f>
        <v>-278</v>
      </c>
      <c r="W43" s="12">
        <f>SUM(W31:W42)</f>
        <v>7331</v>
      </c>
      <c r="X43" s="12">
        <f>SUM(X31:X42)</f>
        <v>4277</v>
      </c>
    </row>
    <row r="44" spans="1:24" ht="12.75" customHeight="1" x14ac:dyDescent="0.3">
      <c r="A44" s="5" t="s">
        <v>93</v>
      </c>
      <c r="B44" s="9">
        <v>4356</v>
      </c>
      <c r="C44" s="9">
        <v>1839</v>
      </c>
      <c r="D44" s="9">
        <v>69</v>
      </c>
      <c r="E44" s="9">
        <v>12</v>
      </c>
      <c r="F44" s="9">
        <v>206</v>
      </c>
      <c r="G44" s="9">
        <v>0</v>
      </c>
      <c r="H44" s="9">
        <v>142</v>
      </c>
      <c r="I44" s="9">
        <v>1</v>
      </c>
      <c r="J44" s="9">
        <v>13</v>
      </c>
      <c r="K44" s="9">
        <v>224</v>
      </c>
      <c r="L44" s="9">
        <v>47</v>
      </c>
      <c r="M44" s="9">
        <v>2</v>
      </c>
      <c r="N44" s="9">
        <v>15</v>
      </c>
      <c r="O44" s="9">
        <v>2555</v>
      </c>
      <c r="P44" s="9">
        <v>3376</v>
      </c>
      <c r="Q44" s="47">
        <v>-0.14738696418085731</v>
      </c>
      <c r="R44" s="120">
        <v>-9.9400775467042651E-2</v>
      </c>
    </row>
    <row r="45" spans="1:24" ht="12.75" customHeight="1" x14ac:dyDescent="0.3">
      <c r="A45" s="5" t="s">
        <v>23</v>
      </c>
      <c r="B45" s="9">
        <f>B43-B44</f>
        <v>2074</v>
      </c>
      <c r="C45" s="9">
        <f t="shared" ref="C45:P45" si="15">C43-C44</f>
        <v>940</v>
      </c>
      <c r="D45" s="9">
        <f t="shared" si="15"/>
        <v>76</v>
      </c>
      <c r="E45" s="9">
        <f t="shared" si="15"/>
        <v>13</v>
      </c>
      <c r="F45" s="9">
        <f t="shared" si="15"/>
        <v>148</v>
      </c>
      <c r="G45" s="9">
        <f t="shared" si="15"/>
        <v>0</v>
      </c>
      <c r="H45" s="9">
        <f t="shared" si="15"/>
        <v>135</v>
      </c>
      <c r="I45" s="9">
        <f t="shared" si="15"/>
        <v>2</v>
      </c>
      <c r="J45" s="9">
        <f t="shared" si="15"/>
        <v>15</v>
      </c>
      <c r="K45" s="9">
        <f t="shared" si="15"/>
        <v>139</v>
      </c>
      <c r="L45" s="9">
        <f t="shared" si="15"/>
        <v>-35</v>
      </c>
      <c r="M45" s="9">
        <f t="shared" si="15"/>
        <v>11</v>
      </c>
      <c r="N45" s="9">
        <f t="shared" si="15"/>
        <v>-8</v>
      </c>
      <c r="O45" s="9">
        <f t="shared" si="15"/>
        <v>1444</v>
      </c>
      <c r="P45" s="9">
        <f t="shared" si="15"/>
        <v>682</v>
      </c>
      <c r="Q45" s="48"/>
      <c r="R45" s="158"/>
    </row>
    <row r="48" spans="1:24" ht="12.75" customHeight="1" x14ac:dyDescent="0.25">
      <c r="A48" s="316" t="s">
        <v>127</v>
      </c>
    </row>
    <row r="50" spans="1:24" ht="12.5" x14ac:dyDescent="0.25">
      <c r="C50" s="332"/>
      <c r="D50" s="333"/>
      <c r="E50" s="333"/>
      <c r="F50" s="333"/>
      <c r="G50" s="333"/>
      <c r="H50" s="333"/>
      <c r="I50" s="333"/>
      <c r="J50" s="333"/>
      <c r="K50" s="334"/>
    </row>
    <row r="51" spans="1:24" ht="18" x14ac:dyDescent="0.25">
      <c r="C51" s="25"/>
      <c r="F51" s="335" t="s">
        <v>128</v>
      </c>
      <c r="G51" s="336"/>
      <c r="H51" s="336"/>
      <c r="K51" s="337"/>
    </row>
    <row r="52" spans="1:24" ht="12.75" customHeight="1" x14ac:dyDescent="0.25">
      <c r="C52" s="86"/>
      <c r="D52" s="4"/>
      <c r="E52" s="4"/>
      <c r="F52" s="4"/>
      <c r="G52" s="4"/>
      <c r="H52" s="4"/>
      <c r="I52" s="4"/>
      <c r="J52" s="4"/>
      <c r="K52" s="97"/>
    </row>
    <row r="54" spans="1:24" ht="12.75" customHeight="1" x14ac:dyDescent="0.3">
      <c r="A54" s="1" t="s">
        <v>0</v>
      </c>
      <c r="B54" s="2" t="s">
        <v>1</v>
      </c>
      <c r="C54" s="73" t="s">
        <v>75</v>
      </c>
      <c r="D54" s="73" t="s">
        <v>52</v>
      </c>
      <c r="E54" s="73" t="s">
        <v>53</v>
      </c>
      <c r="F54" s="2" t="s">
        <v>76</v>
      </c>
      <c r="G54" s="2" t="s">
        <v>4</v>
      </c>
      <c r="H54" s="73" t="s">
        <v>5</v>
      </c>
      <c r="I54" s="2" t="s">
        <v>74</v>
      </c>
      <c r="J54" s="73" t="s">
        <v>46</v>
      </c>
      <c r="K54" s="73" t="s">
        <v>58</v>
      </c>
      <c r="L54" s="73" t="s">
        <v>47</v>
      </c>
      <c r="M54" s="73" t="s">
        <v>77</v>
      </c>
      <c r="N54" s="326" t="s">
        <v>7</v>
      </c>
      <c r="O54" s="1" t="s">
        <v>8</v>
      </c>
      <c r="P54" s="73" t="s">
        <v>10</v>
      </c>
      <c r="Q54" s="2" t="s">
        <v>1</v>
      </c>
      <c r="R54" s="2" t="s">
        <v>9</v>
      </c>
      <c r="T54" s="163" t="s">
        <v>129</v>
      </c>
      <c r="U54" s="163" t="s">
        <v>130</v>
      </c>
      <c r="W54" s="163" t="s">
        <v>103</v>
      </c>
      <c r="X54" s="163" t="s">
        <v>104</v>
      </c>
    </row>
    <row r="55" spans="1:24" ht="12.75" customHeight="1" x14ac:dyDescent="0.3">
      <c r="A55" t="s">
        <v>11</v>
      </c>
      <c r="B55" s="10">
        <v>230</v>
      </c>
      <c r="C55" s="10">
        <v>120</v>
      </c>
      <c r="D55" s="10">
        <v>4</v>
      </c>
      <c r="E55" s="10">
        <v>2</v>
      </c>
      <c r="F55" s="10">
        <v>8</v>
      </c>
      <c r="G55" s="10">
        <v>0</v>
      </c>
      <c r="H55" s="10">
        <v>8</v>
      </c>
      <c r="I55" s="10">
        <v>0</v>
      </c>
      <c r="J55" s="10">
        <v>0</v>
      </c>
      <c r="K55" s="10">
        <v>0</v>
      </c>
      <c r="L55" s="10">
        <v>0</v>
      </c>
      <c r="M55" s="14">
        <v>0</v>
      </c>
      <c r="N55" s="328">
        <v>0</v>
      </c>
      <c r="O55" s="10">
        <f>SUM(C55:M55)</f>
        <v>142</v>
      </c>
      <c r="P55" s="198">
        <v>81</v>
      </c>
      <c r="Q55" s="276">
        <f>T55/W55</f>
        <v>-0.30513595166163143</v>
      </c>
      <c r="R55" s="277">
        <f>U55/X55</f>
        <v>-0.4453125</v>
      </c>
      <c r="T55" s="143">
        <f t="shared" ref="T55:T66" si="16">B55-W55</f>
        <v>-101</v>
      </c>
      <c r="U55" s="143">
        <f t="shared" ref="U55:U66" si="17">O55-X55</f>
        <v>-114</v>
      </c>
      <c r="W55" s="12">
        <v>331</v>
      </c>
      <c r="X55" s="12">
        <v>256</v>
      </c>
    </row>
    <row r="56" spans="1:24" ht="12.75" customHeight="1" x14ac:dyDescent="0.3">
      <c r="A56" t="s">
        <v>12</v>
      </c>
      <c r="B56" s="10">
        <v>194</v>
      </c>
      <c r="C56" s="10">
        <v>106</v>
      </c>
      <c r="D56" s="10">
        <v>3</v>
      </c>
      <c r="E56" s="10">
        <v>0</v>
      </c>
      <c r="F56" s="10">
        <v>6</v>
      </c>
      <c r="G56" s="10">
        <v>0</v>
      </c>
      <c r="H56" s="10">
        <v>20</v>
      </c>
      <c r="I56" s="10">
        <v>0</v>
      </c>
      <c r="J56" s="10">
        <v>0</v>
      </c>
      <c r="K56" s="10">
        <v>0</v>
      </c>
      <c r="L56" s="10">
        <v>0</v>
      </c>
      <c r="M56" s="14">
        <v>0</v>
      </c>
      <c r="N56" s="328">
        <v>0</v>
      </c>
      <c r="O56" s="10">
        <f t="shared" ref="O56:O66" si="18">SUM(C56:M56)</f>
        <v>135</v>
      </c>
      <c r="P56" s="80">
        <v>113</v>
      </c>
      <c r="Q56" s="278">
        <f t="shared" ref="Q56:R66" si="19">T56/W56</f>
        <v>-0.15283842794759825</v>
      </c>
      <c r="R56" s="279">
        <f t="shared" si="19"/>
        <v>-0.31122448979591838</v>
      </c>
      <c r="T56" s="143">
        <f t="shared" si="16"/>
        <v>-35</v>
      </c>
      <c r="U56" s="143">
        <f t="shared" si="17"/>
        <v>-61</v>
      </c>
      <c r="W56" s="12">
        <v>229</v>
      </c>
      <c r="X56" s="12">
        <v>196</v>
      </c>
    </row>
    <row r="57" spans="1:24" ht="12.75" customHeight="1" x14ac:dyDescent="0.3">
      <c r="A57" t="s">
        <v>13</v>
      </c>
      <c r="B57" s="10">
        <v>244</v>
      </c>
      <c r="C57" s="10">
        <v>127</v>
      </c>
      <c r="D57" s="10">
        <v>7</v>
      </c>
      <c r="E57" s="10">
        <v>1</v>
      </c>
      <c r="F57" s="10">
        <v>14</v>
      </c>
      <c r="G57" s="10">
        <v>0</v>
      </c>
      <c r="H57" s="10">
        <v>22</v>
      </c>
      <c r="I57" s="10">
        <v>0</v>
      </c>
      <c r="J57" s="10">
        <v>0</v>
      </c>
      <c r="K57" s="10">
        <v>0</v>
      </c>
      <c r="L57" s="10">
        <v>0</v>
      </c>
      <c r="M57" s="14">
        <v>0</v>
      </c>
      <c r="N57" s="328">
        <v>0</v>
      </c>
      <c r="O57" s="10">
        <f t="shared" si="18"/>
        <v>171</v>
      </c>
      <c r="P57" s="80">
        <v>84</v>
      </c>
      <c r="Q57" s="278">
        <f t="shared" si="19"/>
        <v>-0.26060606060606062</v>
      </c>
      <c r="R57" s="279">
        <f t="shared" si="19"/>
        <v>-0.28749999999999998</v>
      </c>
      <c r="T57" s="143">
        <f t="shared" si="16"/>
        <v>-86</v>
      </c>
      <c r="U57" s="143">
        <f t="shared" si="17"/>
        <v>-69</v>
      </c>
      <c r="W57" s="12">
        <v>330</v>
      </c>
      <c r="X57" s="12">
        <v>240</v>
      </c>
    </row>
    <row r="58" spans="1:24" ht="12.75" customHeight="1" x14ac:dyDescent="0.3">
      <c r="A58" s="22" t="s">
        <v>14</v>
      </c>
      <c r="B58" s="16">
        <v>314</v>
      </c>
      <c r="C58" s="16">
        <v>166</v>
      </c>
      <c r="D58" s="16">
        <v>16</v>
      </c>
      <c r="E58" s="16">
        <v>1</v>
      </c>
      <c r="F58" s="16">
        <v>13</v>
      </c>
      <c r="G58" s="16">
        <v>0</v>
      </c>
      <c r="H58" s="16">
        <v>32</v>
      </c>
      <c r="I58" s="16">
        <v>0</v>
      </c>
      <c r="J58" s="16">
        <v>1</v>
      </c>
      <c r="K58" s="16">
        <v>1</v>
      </c>
      <c r="L58" s="16">
        <v>1</v>
      </c>
      <c r="M58" s="329">
        <v>1</v>
      </c>
      <c r="N58" s="328">
        <v>0</v>
      </c>
      <c r="O58" s="10">
        <f t="shared" si="18"/>
        <v>232</v>
      </c>
      <c r="P58" s="80">
        <v>292</v>
      </c>
      <c r="Q58" s="278">
        <f t="shared" si="19"/>
        <v>-0.17801047120418848</v>
      </c>
      <c r="R58" s="279">
        <f t="shared" si="19"/>
        <v>-0.10424710424710425</v>
      </c>
      <c r="T58" s="143">
        <f t="shared" si="16"/>
        <v>-68</v>
      </c>
      <c r="U58" s="143">
        <f t="shared" si="17"/>
        <v>-27</v>
      </c>
      <c r="W58" s="12">
        <v>382</v>
      </c>
      <c r="X58" s="12">
        <v>259</v>
      </c>
    </row>
    <row r="59" spans="1:24" ht="12.75" customHeight="1" x14ac:dyDescent="0.3">
      <c r="A59" t="s">
        <v>15</v>
      </c>
      <c r="B59" s="10">
        <v>647</v>
      </c>
      <c r="C59" s="10">
        <v>243</v>
      </c>
      <c r="D59" s="10">
        <v>21</v>
      </c>
      <c r="E59" s="10">
        <v>7</v>
      </c>
      <c r="F59" s="10">
        <v>22</v>
      </c>
      <c r="G59" s="10">
        <v>8</v>
      </c>
      <c r="H59" s="10">
        <v>43</v>
      </c>
      <c r="I59" s="10">
        <v>0</v>
      </c>
      <c r="J59" s="10">
        <v>9</v>
      </c>
      <c r="K59" s="10">
        <v>2</v>
      </c>
      <c r="L59" s="10">
        <v>2</v>
      </c>
      <c r="M59" s="14">
        <v>0</v>
      </c>
      <c r="N59" s="328">
        <v>0</v>
      </c>
      <c r="O59" s="10">
        <f t="shared" si="18"/>
        <v>357</v>
      </c>
      <c r="P59" s="80">
        <v>522</v>
      </c>
      <c r="Q59" s="278">
        <f t="shared" si="19"/>
        <v>6.7656765676567657E-2</v>
      </c>
      <c r="R59" s="279">
        <f t="shared" si="19"/>
        <v>-0.10526315789473684</v>
      </c>
      <c r="T59" s="143">
        <f t="shared" si="16"/>
        <v>41</v>
      </c>
      <c r="U59" s="143">
        <f t="shared" si="17"/>
        <v>-42</v>
      </c>
      <c r="W59" s="12">
        <v>606</v>
      </c>
      <c r="X59" s="12">
        <v>399</v>
      </c>
    </row>
    <row r="60" spans="1:24" ht="12.75" customHeight="1" x14ac:dyDescent="0.3">
      <c r="A60" t="s">
        <v>16</v>
      </c>
      <c r="B60" s="10">
        <v>925</v>
      </c>
      <c r="C60" s="10">
        <v>391</v>
      </c>
      <c r="D60" s="10">
        <v>23</v>
      </c>
      <c r="E60" s="10">
        <v>7</v>
      </c>
      <c r="F60" s="10">
        <v>44</v>
      </c>
      <c r="G60" s="10">
        <v>0</v>
      </c>
      <c r="H60" s="10">
        <v>36</v>
      </c>
      <c r="I60" s="10">
        <v>0</v>
      </c>
      <c r="J60" s="10">
        <v>0</v>
      </c>
      <c r="K60" s="10">
        <v>49</v>
      </c>
      <c r="L60" s="10">
        <v>6</v>
      </c>
      <c r="M60" s="14">
        <v>0</v>
      </c>
      <c r="N60" s="328">
        <v>3</v>
      </c>
      <c r="O60" s="10">
        <f t="shared" si="18"/>
        <v>556</v>
      </c>
      <c r="P60" s="80">
        <v>502</v>
      </c>
      <c r="Q60" s="278">
        <f t="shared" si="19"/>
        <v>0.26712328767123289</v>
      </c>
      <c r="R60" s="279">
        <f t="shared" si="19"/>
        <v>0.27816091954022987</v>
      </c>
      <c r="T60" s="143">
        <f t="shared" si="16"/>
        <v>195</v>
      </c>
      <c r="U60" s="143">
        <f t="shared" si="17"/>
        <v>121</v>
      </c>
      <c r="W60" s="12">
        <v>730</v>
      </c>
      <c r="X60" s="12">
        <v>435</v>
      </c>
    </row>
    <row r="61" spans="1:24" ht="12.75" customHeight="1" x14ac:dyDescent="0.3">
      <c r="A61" t="s">
        <v>17</v>
      </c>
      <c r="B61" s="10">
        <v>1238</v>
      </c>
      <c r="C61" s="10">
        <v>396</v>
      </c>
      <c r="D61" s="10">
        <v>16</v>
      </c>
      <c r="E61" s="10">
        <v>5</v>
      </c>
      <c r="F61" s="10">
        <v>57</v>
      </c>
      <c r="G61" s="10">
        <v>0</v>
      </c>
      <c r="H61" s="10">
        <v>19</v>
      </c>
      <c r="I61" s="10">
        <v>1</v>
      </c>
      <c r="J61" s="10">
        <v>7</v>
      </c>
      <c r="K61" s="10">
        <v>129</v>
      </c>
      <c r="L61" s="10">
        <v>5</v>
      </c>
      <c r="M61" s="14">
        <v>0</v>
      </c>
      <c r="N61" s="328">
        <v>0</v>
      </c>
      <c r="O61" s="10">
        <f t="shared" si="18"/>
        <v>635</v>
      </c>
      <c r="P61" s="80">
        <v>773</v>
      </c>
      <c r="Q61" s="278">
        <f t="shared" si="19"/>
        <v>-0.10549132947976879</v>
      </c>
      <c r="R61" s="279">
        <f t="shared" si="19"/>
        <v>-5.5059523809523808E-2</v>
      </c>
      <c r="T61" s="143">
        <f t="shared" si="16"/>
        <v>-146</v>
      </c>
      <c r="U61" s="143">
        <f t="shared" si="17"/>
        <v>-37</v>
      </c>
      <c r="W61" s="12">
        <v>1384</v>
      </c>
      <c r="X61" s="12">
        <v>672</v>
      </c>
    </row>
    <row r="62" spans="1:24" ht="12.75" customHeight="1" x14ac:dyDescent="0.3">
      <c r="A62" t="s">
        <v>18</v>
      </c>
      <c r="B62" s="10">
        <v>605</v>
      </c>
      <c r="C62" s="10">
        <v>260</v>
      </c>
      <c r="D62" s="10">
        <v>7</v>
      </c>
      <c r="E62" s="10">
        <v>5</v>
      </c>
      <c r="F62" s="10">
        <v>33</v>
      </c>
      <c r="G62" s="10">
        <v>0</v>
      </c>
      <c r="H62" s="10">
        <v>25</v>
      </c>
      <c r="I62" s="10">
        <v>25</v>
      </c>
      <c r="J62" s="10">
        <v>4</v>
      </c>
      <c r="K62" s="10">
        <v>57</v>
      </c>
      <c r="L62" s="10">
        <v>1</v>
      </c>
      <c r="M62" s="14">
        <v>0</v>
      </c>
      <c r="N62" s="328">
        <v>0</v>
      </c>
      <c r="O62" s="10">
        <f t="shared" si="18"/>
        <v>417</v>
      </c>
      <c r="P62" s="80">
        <v>300</v>
      </c>
      <c r="Q62" s="278">
        <f t="shared" si="19"/>
        <v>-0.18021680216802169</v>
      </c>
      <c r="R62" s="279">
        <f t="shared" si="19"/>
        <v>-1.8823529411764704E-2</v>
      </c>
      <c r="T62" s="143">
        <f t="shared" si="16"/>
        <v>-133</v>
      </c>
      <c r="U62" s="143">
        <f t="shared" si="17"/>
        <v>-8</v>
      </c>
      <c r="W62" s="12">
        <v>738</v>
      </c>
      <c r="X62" s="12">
        <v>425</v>
      </c>
    </row>
    <row r="63" spans="1:24" ht="12.75" customHeight="1" x14ac:dyDescent="0.3">
      <c r="A63" t="s">
        <v>19</v>
      </c>
      <c r="B63" s="10">
        <v>0</v>
      </c>
      <c r="C63" s="10"/>
      <c r="D63" s="10"/>
      <c r="E63" s="10"/>
      <c r="F63" s="10"/>
      <c r="G63" s="10"/>
      <c r="H63" s="10"/>
      <c r="I63" s="10"/>
      <c r="J63" s="10"/>
      <c r="K63" s="10"/>
      <c r="L63" s="10"/>
      <c r="M63" s="14"/>
      <c r="N63" s="328">
        <v>0</v>
      </c>
      <c r="O63" s="10">
        <f t="shared" si="18"/>
        <v>0</v>
      </c>
      <c r="P63" s="80"/>
      <c r="Q63" s="278">
        <f t="shared" si="19"/>
        <v>-1</v>
      </c>
      <c r="R63" s="279">
        <f t="shared" si="19"/>
        <v>-1</v>
      </c>
      <c r="T63" s="143">
        <f t="shared" si="16"/>
        <v>-499</v>
      </c>
      <c r="U63" s="143">
        <f t="shared" si="17"/>
        <v>-316</v>
      </c>
      <c r="W63" s="12">
        <v>499</v>
      </c>
      <c r="X63" s="12">
        <v>316</v>
      </c>
    </row>
    <row r="64" spans="1:24" ht="12.75" customHeight="1" x14ac:dyDescent="0.3">
      <c r="A64" t="s">
        <v>20</v>
      </c>
      <c r="B64" s="10">
        <v>0</v>
      </c>
      <c r="C64" s="10"/>
      <c r="D64" s="10"/>
      <c r="E64" s="10"/>
      <c r="F64" s="10"/>
      <c r="G64" s="10"/>
      <c r="H64" s="10"/>
      <c r="I64" s="10"/>
      <c r="J64" s="10"/>
      <c r="K64" s="10"/>
      <c r="L64" s="10"/>
      <c r="M64" s="14"/>
      <c r="N64" s="328">
        <v>0</v>
      </c>
      <c r="O64" s="10">
        <f t="shared" si="18"/>
        <v>0</v>
      </c>
      <c r="P64" s="80"/>
      <c r="Q64" s="278">
        <f t="shared" si="19"/>
        <v>-1</v>
      </c>
      <c r="R64" s="279">
        <f t="shared" si="19"/>
        <v>-1</v>
      </c>
      <c r="T64" s="143">
        <f t="shared" si="16"/>
        <v>-568</v>
      </c>
      <c r="U64" s="143">
        <f t="shared" si="17"/>
        <v>-374</v>
      </c>
      <c r="W64" s="12">
        <v>568</v>
      </c>
      <c r="X64" s="12">
        <v>374</v>
      </c>
    </row>
    <row r="65" spans="1:24" ht="12.75" customHeight="1" x14ac:dyDescent="0.3">
      <c r="A65" t="s">
        <v>21</v>
      </c>
      <c r="B65" s="10">
        <v>0</v>
      </c>
      <c r="C65" s="10"/>
      <c r="D65" s="10"/>
      <c r="E65" s="10"/>
      <c r="F65" s="10"/>
      <c r="G65" s="10"/>
      <c r="H65" s="103"/>
      <c r="I65" s="103"/>
      <c r="J65" s="103"/>
      <c r="K65" s="103"/>
      <c r="L65" s="103"/>
      <c r="M65" s="14"/>
      <c r="N65" s="328">
        <v>0</v>
      </c>
      <c r="O65" s="10">
        <f t="shared" si="18"/>
        <v>0</v>
      </c>
      <c r="P65" s="80"/>
      <c r="Q65" s="278">
        <f>T65/W65</f>
        <v>-1</v>
      </c>
      <c r="R65" s="279">
        <f t="shared" si="19"/>
        <v>-1</v>
      </c>
      <c r="T65" s="143">
        <f t="shared" si="16"/>
        <v>-329</v>
      </c>
      <c r="U65" s="143">
        <f t="shared" si="17"/>
        <v>-231</v>
      </c>
      <c r="W65" s="12">
        <v>329</v>
      </c>
      <c r="X65" s="12">
        <v>231</v>
      </c>
    </row>
    <row r="66" spans="1:24" ht="12.75" customHeight="1" x14ac:dyDescent="0.3">
      <c r="A66" s="4" t="s">
        <v>22</v>
      </c>
      <c r="B66" s="11">
        <v>0</v>
      </c>
      <c r="C66" s="11"/>
      <c r="D66" s="11"/>
      <c r="E66" s="11"/>
      <c r="F66" s="11"/>
      <c r="G66" s="11"/>
      <c r="H66" s="11"/>
      <c r="I66" s="11"/>
      <c r="J66" s="11"/>
      <c r="K66" s="11"/>
      <c r="L66" s="11"/>
      <c r="M66" s="15"/>
      <c r="N66" s="330">
        <v>0</v>
      </c>
      <c r="O66" s="11">
        <f t="shared" si="18"/>
        <v>0</v>
      </c>
      <c r="P66" s="81"/>
      <c r="Q66" s="280">
        <f>T66/W66</f>
        <v>-1</v>
      </c>
      <c r="R66" s="281">
        <f t="shared" si="19"/>
        <v>-1</v>
      </c>
      <c r="T66" s="169">
        <f t="shared" si="16"/>
        <v>-304</v>
      </c>
      <c r="U66" s="169">
        <f t="shared" si="17"/>
        <v>-196</v>
      </c>
      <c r="W66" s="20">
        <v>304</v>
      </c>
      <c r="X66" s="20">
        <v>196</v>
      </c>
    </row>
    <row r="67" spans="1:24" ht="12.75" customHeight="1" x14ac:dyDescent="0.3">
      <c r="A67" s="3" t="s">
        <v>131</v>
      </c>
      <c r="B67" s="8">
        <f>SUM(B55:B66)</f>
        <v>4397</v>
      </c>
      <c r="C67" s="8">
        <f t="shared" ref="C67:P67" si="20">SUM(C55:C66)</f>
        <v>1809</v>
      </c>
      <c r="D67" s="8">
        <f t="shared" si="20"/>
        <v>97</v>
      </c>
      <c r="E67" s="8">
        <f t="shared" si="20"/>
        <v>28</v>
      </c>
      <c r="F67" s="8">
        <f t="shared" si="20"/>
        <v>197</v>
      </c>
      <c r="G67" s="8">
        <f t="shared" si="20"/>
        <v>8</v>
      </c>
      <c r="H67" s="8">
        <f t="shared" si="20"/>
        <v>205</v>
      </c>
      <c r="I67" s="8">
        <f t="shared" si="20"/>
        <v>26</v>
      </c>
      <c r="J67" s="8">
        <f t="shared" si="20"/>
        <v>21</v>
      </c>
      <c r="K67" s="8">
        <f t="shared" si="20"/>
        <v>238</v>
      </c>
      <c r="L67" s="8">
        <f t="shared" si="20"/>
        <v>15</v>
      </c>
      <c r="M67" s="8">
        <f t="shared" si="20"/>
        <v>1</v>
      </c>
      <c r="N67" s="8">
        <f t="shared" si="20"/>
        <v>3</v>
      </c>
      <c r="O67" s="8">
        <f t="shared" si="20"/>
        <v>2645</v>
      </c>
      <c r="P67" s="8">
        <f t="shared" si="20"/>
        <v>2667</v>
      </c>
      <c r="Q67" s="282">
        <f>T67/W67</f>
        <v>-0.3161741835147745</v>
      </c>
      <c r="R67" s="171">
        <f>U67/X67</f>
        <v>-0.33858464616154038</v>
      </c>
      <c r="T67" s="331">
        <f>SUM(T55:T66)</f>
        <v>-2033</v>
      </c>
      <c r="U67" s="331">
        <f>SUM(U55:U66)</f>
        <v>-1354</v>
      </c>
      <c r="W67" s="12">
        <f>SUM(W55:W66)</f>
        <v>6430</v>
      </c>
      <c r="X67" s="12">
        <f>SUM(X55:X66)</f>
        <v>3999</v>
      </c>
    </row>
    <row r="68" spans="1:24" ht="12.75" customHeight="1" x14ac:dyDescent="0.3">
      <c r="A68" s="5" t="s">
        <v>106</v>
      </c>
      <c r="B68" s="9">
        <v>6430</v>
      </c>
      <c r="C68" s="9">
        <v>2779</v>
      </c>
      <c r="D68" s="9">
        <v>145</v>
      </c>
      <c r="E68" s="9">
        <v>25</v>
      </c>
      <c r="F68" s="9">
        <v>354</v>
      </c>
      <c r="G68" s="9">
        <v>0</v>
      </c>
      <c r="H68" s="9">
        <v>277</v>
      </c>
      <c r="I68" s="9">
        <v>3</v>
      </c>
      <c r="J68" s="9">
        <v>28</v>
      </c>
      <c r="K68" s="9">
        <v>363</v>
      </c>
      <c r="L68" s="9">
        <v>12</v>
      </c>
      <c r="M68" s="9">
        <v>13</v>
      </c>
      <c r="N68" s="9">
        <v>7</v>
      </c>
      <c r="O68" s="9">
        <v>3999</v>
      </c>
      <c r="P68" s="9">
        <v>4058</v>
      </c>
      <c r="Q68" s="47">
        <v>-0.14738696418085731</v>
      </c>
      <c r="R68" s="120">
        <v>-9.9400775467042651E-2</v>
      </c>
    </row>
    <row r="69" spans="1:24" ht="12.75" customHeight="1" x14ac:dyDescent="0.3">
      <c r="A69" s="5" t="s">
        <v>23</v>
      </c>
      <c r="B69" s="9">
        <f>B67-B68</f>
        <v>-2033</v>
      </c>
      <c r="C69" s="9">
        <f t="shared" ref="C69:P69" si="21">C67-C68</f>
        <v>-970</v>
      </c>
      <c r="D69" s="9">
        <f t="shared" si="21"/>
        <v>-48</v>
      </c>
      <c r="E69" s="9">
        <f t="shared" si="21"/>
        <v>3</v>
      </c>
      <c r="F69" s="9">
        <f t="shared" si="21"/>
        <v>-157</v>
      </c>
      <c r="G69" s="9">
        <f t="shared" si="21"/>
        <v>8</v>
      </c>
      <c r="H69" s="9">
        <f t="shared" si="21"/>
        <v>-72</v>
      </c>
      <c r="I69" s="9">
        <f t="shared" si="21"/>
        <v>23</v>
      </c>
      <c r="J69" s="9">
        <f t="shared" si="21"/>
        <v>-7</v>
      </c>
      <c r="K69" s="9">
        <f t="shared" si="21"/>
        <v>-125</v>
      </c>
      <c r="L69" s="9">
        <f t="shared" si="21"/>
        <v>3</v>
      </c>
      <c r="M69" s="9">
        <f t="shared" si="21"/>
        <v>-12</v>
      </c>
      <c r="N69" s="9">
        <f t="shared" si="21"/>
        <v>-4</v>
      </c>
      <c r="O69" s="9">
        <f t="shared" si="21"/>
        <v>-1354</v>
      </c>
      <c r="P69" s="9">
        <f t="shared" si="21"/>
        <v>-1391</v>
      </c>
      <c r="Q69" s="48"/>
      <c r="R69" s="158"/>
    </row>
    <row r="71" spans="1:24" ht="12.75" customHeight="1" x14ac:dyDescent="0.25">
      <c r="C71" s="338" t="s">
        <v>132</v>
      </c>
      <c r="D71" s="327"/>
      <c r="E71" s="327"/>
    </row>
  </sheetData>
  <phoneticPr fontId="4" type="noConversion"/>
  <printOptions headings="1" gridLines="1" gridLinesSet="0"/>
  <pageMargins left="0.78740157480314965" right="0.78740157480314965" top="0.78740157480314965" bottom="0.78740157480314965" header="0.51181102362204722" footer="0.51181102362204722"/>
  <pageSetup paperSize="9" scale="1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672131-2443-4D95-8BF8-4FB0F365394C}">
  <dimension ref="A3:R90"/>
  <sheetViews>
    <sheetView topLeftCell="A49" workbookViewId="0">
      <selection activeCell="G48" sqref="G48"/>
    </sheetView>
  </sheetViews>
  <sheetFormatPr defaultRowHeight="12.5" x14ac:dyDescent="0.25"/>
  <sheetData>
    <row r="3" spans="1:18" ht="12.75" customHeight="1" x14ac:dyDescent="0.25"/>
    <row r="4" spans="1:18" ht="12.75" customHeight="1" x14ac:dyDescent="0.25"/>
    <row r="5" spans="1:18" ht="12.75" customHeight="1" x14ac:dyDescent="0.25"/>
    <row r="6" spans="1:18" ht="12.75" customHeight="1" x14ac:dyDescent="0.25"/>
    <row r="7" spans="1:18" ht="13" x14ac:dyDescent="0.3">
      <c r="A7" s="1" t="s">
        <v>0</v>
      </c>
      <c r="B7" s="2" t="s">
        <v>1</v>
      </c>
      <c r="C7" s="2" t="s">
        <v>2</v>
      </c>
      <c r="D7" s="2" t="s">
        <v>3</v>
      </c>
      <c r="E7" s="2" t="s">
        <v>4</v>
      </c>
      <c r="F7" s="2" t="s">
        <v>5</v>
      </c>
      <c r="G7" s="2" t="s">
        <v>6</v>
      </c>
      <c r="H7" s="32" t="s">
        <v>7</v>
      </c>
      <c r="I7" s="1" t="s">
        <v>8</v>
      </c>
      <c r="J7" s="2" t="s">
        <v>10</v>
      </c>
      <c r="K7" s="2" t="s">
        <v>1</v>
      </c>
      <c r="L7" s="2" t="s">
        <v>9</v>
      </c>
      <c r="N7" s="3" t="s">
        <v>94</v>
      </c>
      <c r="O7" s="3" t="s">
        <v>95</v>
      </c>
      <c r="Q7" s="3" t="s">
        <v>87</v>
      </c>
      <c r="R7" s="3" t="s">
        <v>88</v>
      </c>
    </row>
    <row r="8" spans="1:18" ht="13" x14ac:dyDescent="0.3">
      <c r="A8" t="s">
        <v>11</v>
      </c>
      <c r="B8" s="10">
        <v>1697</v>
      </c>
      <c r="C8" s="10">
        <v>978</v>
      </c>
      <c r="D8" s="10">
        <v>72</v>
      </c>
      <c r="E8" s="10">
        <v>0</v>
      </c>
      <c r="F8" s="10">
        <v>21</v>
      </c>
      <c r="G8" s="10">
        <v>2</v>
      </c>
      <c r="H8" s="31">
        <v>0</v>
      </c>
      <c r="I8" s="10">
        <f>SUM(C8:G8)</f>
        <v>1073</v>
      </c>
      <c r="J8" s="10">
        <v>888</v>
      </c>
      <c r="K8" s="285">
        <v>0.22350396539293438</v>
      </c>
      <c r="L8" s="286">
        <v>0.18041804180418042</v>
      </c>
      <c r="M8" s="22"/>
      <c r="N8" s="143">
        <v>310</v>
      </c>
      <c r="O8" s="143">
        <v>164</v>
      </c>
      <c r="Q8" s="12">
        <v>1387</v>
      </c>
      <c r="R8" s="12">
        <v>909</v>
      </c>
    </row>
    <row r="9" spans="1:18" ht="13" x14ac:dyDescent="0.3">
      <c r="A9" t="s">
        <v>12</v>
      </c>
      <c r="B9" s="10">
        <v>1617</v>
      </c>
      <c r="C9" s="10">
        <v>932</v>
      </c>
      <c r="D9" s="10">
        <v>57</v>
      </c>
      <c r="E9" s="10">
        <v>0</v>
      </c>
      <c r="F9" s="10">
        <v>2</v>
      </c>
      <c r="G9" s="10">
        <v>0</v>
      </c>
      <c r="H9" s="31">
        <v>0</v>
      </c>
      <c r="I9" s="10">
        <f t="shared" ref="I9:I19" si="0">SUM(C9:G9)</f>
        <v>991</v>
      </c>
      <c r="J9" s="10">
        <v>586</v>
      </c>
      <c r="K9" s="285">
        <v>0.25154798761609909</v>
      </c>
      <c r="L9" s="287">
        <v>0.13516609392898052</v>
      </c>
      <c r="M9" s="22"/>
      <c r="N9" s="143">
        <v>325</v>
      </c>
      <c r="O9" s="143">
        <v>118</v>
      </c>
      <c r="Q9" s="12">
        <v>1292</v>
      </c>
      <c r="R9" s="12">
        <v>873</v>
      </c>
    </row>
    <row r="10" spans="1:18" ht="13" x14ac:dyDescent="0.3">
      <c r="A10" t="s">
        <v>13</v>
      </c>
      <c r="B10" s="10">
        <v>2032</v>
      </c>
      <c r="C10" s="10">
        <v>1063</v>
      </c>
      <c r="D10" s="10">
        <v>84</v>
      </c>
      <c r="E10" s="10">
        <v>4</v>
      </c>
      <c r="F10" s="10">
        <v>10</v>
      </c>
      <c r="G10" s="10">
        <v>0</v>
      </c>
      <c r="H10" s="31">
        <v>0</v>
      </c>
      <c r="I10" s="10">
        <f t="shared" si="0"/>
        <v>1161</v>
      </c>
      <c r="J10" s="10">
        <v>968</v>
      </c>
      <c r="K10" s="285">
        <v>0.19952774498229045</v>
      </c>
      <c r="L10" s="287">
        <v>0.125</v>
      </c>
      <c r="M10" s="22"/>
      <c r="N10" s="143">
        <v>338</v>
      </c>
      <c r="O10" s="143">
        <v>129</v>
      </c>
      <c r="Q10" s="12">
        <v>1694</v>
      </c>
      <c r="R10" s="12">
        <v>1032</v>
      </c>
    </row>
    <row r="11" spans="1:18" ht="13" x14ac:dyDescent="0.3">
      <c r="A11" t="s">
        <v>14</v>
      </c>
      <c r="B11" s="10">
        <v>2408</v>
      </c>
      <c r="C11" s="10">
        <v>1283</v>
      </c>
      <c r="D11" s="10">
        <v>70</v>
      </c>
      <c r="E11" s="10">
        <v>0</v>
      </c>
      <c r="F11" s="10">
        <v>19</v>
      </c>
      <c r="G11" s="10">
        <v>2</v>
      </c>
      <c r="H11" s="31">
        <v>0</v>
      </c>
      <c r="I11" s="10">
        <f t="shared" si="0"/>
        <v>1374</v>
      </c>
      <c r="J11" s="10">
        <v>852</v>
      </c>
      <c r="K11" s="285">
        <v>0.29881337648327938</v>
      </c>
      <c r="L11" s="287">
        <v>0.20104895104895104</v>
      </c>
      <c r="M11" s="22"/>
      <c r="N11" s="143">
        <v>554</v>
      </c>
      <c r="O11" s="143">
        <v>230</v>
      </c>
      <c r="Q11" s="12">
        <v>1854</v>
      </c>
      <c r="R11" s="12">
        <v>1144</v>
      </c>
    </row>
    <row r="12" spans="1:18" ht="13" x14ac:dyDescent="0.3">
      <c r="A12" t="s">
        <v>15</v>
      </c>
      <c r="B12" s="10">
        <v>3082</v>
      </c>
      <c r="C12" s="10">
        <v>1506</v>
      </c>
      <c r="D12" s="10">
        <v>69</v>
      </c>
      <c r="E12" s="10">
        <v>4</v>
      </c>
      <c r="F12" s="10">
        <v>18</v>
      </c>
      <c r="G12" s="10">
        <v>12</v>
      </c>
      <c r="H12" s="31">
        <v>0</v>
      </c>
      <c r="I12" s="10">
        <f t="shared" si="0"/>
        <v>1609</v>
      </c>
      <c r="J12" s="10">
        <v>882</v>
      </c>
      <c r="K12" s="285">
        <v>0.16963946869070209</v>
      </c>
      <c r="L12" s="287">
        <v>4.7526041666666664E-2</v>
      </c>
      <c r="M12" s="22"/>
      <c r="N12" s="143">
        <v>447</v>
      </c>
      <c r="O12" s="143">
        <v>73</v>
      </c>
      <c r="Q12" s="12">
        <v>2635</v>
      </c>
      <c r="R12" s="12">
        <v>1536</v>
      </c>
    </row>
    <row r="13" spans="1:18" ht="13" x14ac:dyDescent="0.3">
      <c r="A13" t="s">
        <v>16</v>
      </c>
      <c r="B13" s="10">
        <v>4090</v>
      </c>
      <c r="C13" s="10">
        <v>1762</v>
      </c>
      <c r="D13" s="10">
        <v>95</v>
      </c>
      <c r="E13" s="10">
        <v>16</v>
      </c>
      <c r="F13" s="10">
        <v>34</v>
      </c>
      <c r="G13" s="10">
        <v>151</v>
      </c>
      <c r="H13" s="31">
        <v>0</v>
      </c>
      <c r="I13" s="10">
        <f t="shared" si="0"/>
        <v>2058</v>
      </c>
      <c r="J13" s="10">
        <v>1414</v>
      </c>
      <c r="K13" s="285">
        <v>0.23789346246973367</v>
      </c>
      <c r="L13" s="287">
        <v>7.8354554358472089E-3</v>
      </c>
      <c r="M13" s="22"/>
      <c r="N13" s="143">
        <v>786</v>
      </c>
      <c r="O13" s="143">
        <v>16</v>
      </c>
      <c r="Q13" s="12">
        <v>3304</v>
      </c>
      <c r="R13" s="12">
        <v>2042</v>
      </c>
    </row>
    <row r="14" spans="1:18" ht="13" x14ac:dyDescent="0.3">
      <c r="A14" t="s">
        <v>17</v>
      </c>
      <c r="B14" s="10">
        <v>6483</v>
      </c>
      <c r="C14" s="10">
        <v>2682</v>
      </c>
      <c r="D14" s="10">
        <v>101</v>
      </c>
      <c r="E14" s="10">
        <v>0</v>
      </c>
      <c r="F14" s="10">
        <v>33</v>
      </c>
      <c r="G14" s="10">
        <v>730</v>
      </c>
      <c r="H14" s="31">
        <v>0</v>
      </c>
      <c r="I14" s="10">
        <f t="shared" si="0"/>
        <v>3546</v>
      </c>
      <c r="J14" s="10">
        <v>1274</v>
      </c>
      <c r="K14" s="285">
        <v>5.724070450097847E-2</v>
      </c>
      <c r="L14" s="287">
        <v>-7.3183481442760059E-2</v>
      </c>
      <c r="M14" s="22"/>
      <c r="N14" s="143">
        <v>351</v>
      </c>
      <c r="O14" s="143">
        <v>-280</v>
      </c>
      <c r="Q14" s="12">
        <v>6132</v>
      </c>
      <c r="R14" s="12">
        <v>3826</v>
      </c>
    </row>
    <row r="15" spans="1:18" ht="13" x14ac:dyDescent="0.3">
      <c r="A15" t="s">
        <v>18</v>
      </c>
      <c r="B15" s="10">
        <v>4158</v>
      </c>
      <c r="C15" s="10">
        <v>1847</v>
      </c>
      <c r="D15" s="10">
        <v>88</v>
      </c>
      <c r="E15" s="10">
        <v>4</v>
      </c>
      <c r="F15" s="10">
        <v>68</v>
      </c>
      <c r="G15" s="10">
        <v>478</v>
      </c>
      <c r="H15" s="31">
        <v>0</v>
      </c>
      <c r="I15" s="10">
        <f t="shared" si="0"/>
        <v>2485</v>
      </c>
      <c r="J15" s="10">
        <v>1472</v>
      </c>
      <c r="K15" s="285">
        <v>-3.7054191755442334E-2</v>
      </c>
      <c r="L15" s="287">
        <v>1.511437908496732E-2</v>
      </c>
      <c r="M15" s="22"/>
      <c r="N15" s="143">
        <v>-160</v>
      </c>
      <c r="O15" s="143">
        <v>37</v>
      </c>
      <c r="Q15" s="12">
        <v>4318</v>
      </c>
      <c r="R15" s="12">
        <v>2448</v>
      </c>
    </row>
    <row r="16" spans="1:18" ht="13" x14ac:dyDescent="0.3">
      <c r="A16" t="s">
        <v>19</v>
      </c>
      <c r="B16" s="10">
        <v>2301</v>
      </c>
      <c r="C16" s="10">
        <v>1233</v>
      </c>
      <c r="D16" s="10">
        <v>103</v>
      </c>
      <c r="E16" s="10">
        <v>0</v>
      </c>
      <c r="F16" s="10">
        <v>39</v>
      </c>
      <c r="G16" s="10">
        <v>120</v>
      </c>
      <c r="H16" s="31">
        <v>0</v>
      </c>
      <c r="I16" s="10">
        <f t="shared" si="0"/>
        <v>1495</v>
      </c>
      <c r="J16" s="10">
        <v>1342</v>
      </c>
      <c r="K16" s="285">
        <v>3.0913978494623656E-2</v>
      </c>
      <c r="L16" s="287">
        <v>0.1198501872659176</v>
      </c>
      <c r="M16" s="22"/>
      <c r="N16" s="143">
        <v>69</v>
      </c>
      <c r="O16" s="143">
        <v>160</v>
      </c>
      <c r="Q16" s="12">
        <v>2232</v>
      </c>
      <c r="R16" s="12">
        <v>1335</v>
      </c>
    </row>
    <row r="17" spans="1:18" ht="13" x14ac:dyDescent="0.3">
      <c r="A17" t="s">
        <v>20</v>
      </c>
      <c r="B17" s="10">
        <v>1845</v>
      </c>
      <c r="C17" s="10">
        <v>1118</v>
      </c>
      <c r="D17" s="10">
        <v>73</v>
      </c>
      <c r="E17" s="10">
        <v>0</v>
      </c>
      <c r="F17" s="10">
        <v>38</v>
      </c>
      <c r="G17" s="10">
        <v>24</v>
      </c>
      <c r="H17" s="31">
        <v>0</v>
      </c>
      <c r="I17" s="10">
        <f t="shared" si="0"/>
        <v>1253</v>
      </c>
      <c r="J17" s="10">
        <v>1034</v>
      </c>
      <c r="K17" s="285">
        <v>-0.21722528638099278</v>
      </c>
      <c r="L17" s="287">
        <v>-0.12986111111111112</v>
      </c>
      <c r="M17" s="22"/>
      <c r="N17" s="143">
        <v>-512</v>
      </c>
      <c r="O17" s="143">
        <v>-187</v>
      </c>
      <c r="Q17" s="12">
        <v>2357</v>
      </c>
      <c r="R17" s="12">
        <v>1440</v>
      </c>
    </row>
    <row r="18" spans="1:18" ht="13" x14ac:dyDescent="0.3">
      <c r="A18" t="s">
        <v>21</v>
      </c>
      <c r="B18" s="10">
        <v>1599</v>
      </c>
      <c r="C18" s="10">
        <v>944</v>
      </c>
      <c r="D18" s="10">
        <v>85</v>
      </c>
      <c r="E18" s="10">
        <v>0</v>
      </c>
      <c r="F18" s="10">
        <v>18</v>
      </c>
      <c r="G18" s="10">
        <v>2</v>
      </c>
      <c r="H18" s="31">
        <v>0</v>
      </c>
      <c r="I18" s="10">
        <f t="shared" si="0"/>
        <v>1049</v>
      </c>
      <c r="J18" s="10">
        <v>994</v>
      </c>
      <c r="K18" s="285">
        <v>-0.19364599092284418</v>
      </c>
      <c r="L18" s="287">
        <v>-0.11101694915254237</v>
      </c>
      <c r="M18" s="22"/>
      <c r="N18" s="143">
        <v>-384</v>
      </c>
      <c r="O18" s="143">
        <v>-131</v>
      </c>
      <c r="Q18" s="12">
        <v>1983</v>
      </c>
      <c r="R18" s="12">
        <v>1180</v>
      </c>
    </row>
    <row r="19" spans="1:18" ht="13" x14ac:dyDescent="0.3">
      <c r="A19" s="4" t="s">
        <v>22</v>
      </c>
      <c r="B19" s="11">
        <v>1643</v>
      </c>
      <c r="C19" s="11">
        <v>942</v>
      </c>
      <c r="D19" s="11">
        <v>72</v>
      </c>
      <c r="E19" s="11">
        <v>0</v>
      </c>
      <c r="F19" s="11">
        <v>24</v>
      </c>
      <c r="G19" s="11">
        <v>0</v>
      </c>
      <c r="H19" s="30">
        <v>0</v>
      </c>
      <c r="I19" s="11">
        <f t="shared" si="0"/>
        <v>1038</v>
      </c>
      <c r="J19" s="11">
        <v>912</v>
      </c>
      <c r="K19" s="288">
        <v>-9.6443640747438213E-3</v>
      </c>
      <c r="L19" s="289">
        <v>-3.838771593090211E-3</v>
      </c>
      <c r="M19" s="22"/>
      <c r="N19" s="169">
        <v>-16</v>
      </c>
      <c r="O19" s="169">
        <v>-4</v>
      </c>
      <c r="Q19" s="20">
        <v>1659</v>
      </c>
      <c r="R19" s="12">
        <v>1042</v>
      </c>
    </row>
    <row r="20" spans="1:18" ht="13" x14ac:dyDescent="0.3">
      <c r="A20" s="119" t="s">
        <v>97</v>
      </c>
      <c r="B20" s="8">
        <f t="shared" ref="B20:J20" si="1">SUM(B8:B19)</f>
        <v>32955</v>
      </c>
      <c r="C20" s="8">
        <f t="shared" si="1"/>
        <v>16290</v>
      </c>
      <c r="D20" s="8">
        <f t="shared" si="1"/>
        <v>969</v>
      </c>
      <c r="E20" s="8">
        <f t="shared" si="1"/>
        <v>28</v>
      </c>
      <c r="F20" s="8">
        <f t="shared" si="1"/>
        <v>324</v>
      </c>
      <c r="G20" s="8">
        <f t="shared" si="1"/>
        <v>1521</v>
      </c>
      <c r="H20" s="31">
        <f t="shared" si="1"/>
        <v>0</v>
      </c>
      <c r="I20" s="8">
        <f>SUM(I8:I19)</f>
        <v>19132</v>
      </c>
      <c r="J20" s="8">
        <f t="shared" si="1"/>
        <v>12618</v>
      </c>
      <c r="K20" s="285">
        <v>6.8337277531040297E-2</v>
      </c>
      <c r="L20" s="286">
        <v>1.7280799702238527E-2</v>
      </c>
      <c r="M20" s="22"/>
      <c r="N20" s="143">
        <v>2108</v>
      </c>
      <c r="O20" s="143">
        <v>325</v>
      </c>
      <c r="Q20" s="12">
        <v>30847</v>
      </c>
      <c r="R20" s="12">
        <v>18807</v>
      </c>
    </row>
    <row r="21" spans="1:18" ht="13" x14ac:dyDescent="0.3">
      <c r="A21" s="37" t="s">
        <v>90</v>
      </c>
      <c r="B21" s="9">
        <v>30612</v>
      </c>
      <c r="C21" s="9">
        <v>15510</v>
      </c>
      <c r="D21" s="9">
        <v>889</v>
      </c>
      <c r="E21" s="9">
        <v>44</v>
      </c>
      <c r="F21" s="9">
        <v>250</v>
      </c>
      <c r="G21" s="9">
        <v>1895</v>
      </c>
      <c r="H21" s="9">
        <v>2</v>
      </c>
      <c r="I21" s="9">
        <v>18588</v>
      </c>
      <c r="J21" s="9">
        <v>11418</v>
      </c>
      <c r="K21" s="47"/>
      <c r="L21" s="120"/>
    </row>
    <row r="22" spans="1:18" ht="13" x14ac:dyDescent="0.3">
      <c r="A22" s="5" t="s">
        <v>23</v>
      </c>
      <c r="B22" s="9">
        <f t="shared" ref="B22:J22" si="2">B20-B21</f>
        <v>2343</v>
      </c>
      <c r="C22" s="9">
        <f t="shared" si="2"/>
        <v>780</v>
      </c>
      <c r="D22" s="9">
        <f t="shared" si="2"/>
        <v>80</v>
      </c>
      <c r="E22" s="9">
        <f t="shared" si="2"/>
        <v>-16</v>
      </c>
      <c r="F22" s="9">
        <f t="shared" si="2"/>
        <v>74</v>
      </c>
      <c r="G22" s="9">
        <f t="shared" si="2"/>
        <v>-374</v>
      </c>
      <c r="H22" s="30">
        <f t="shared" si="2"/>
        <v>-2</v>
      </c>
      <c r="I22" s="9">
        <f t="shared" si="2"/>
        <v>544</v>
      </c>
      <c r="J22" s="9">
        <f t="shared" si="2"/>
        <v>1200</v>
      </c>
      <c r="K22" s="19"/>
      <c r="L22" s="121"/>
    </row>
    <row r="23" spans="1:18" ht="12.75" customHeight="1" x14ac:dyDescent="0.25"/>
    <row r="27" spans="1:18" ht="12.75" customHeight="1" x14ac:dyDescent="0.25"/>
    <row r="28" spans="1:18" ht="12.75" customHeight="1" x14ac:dyDescent="0.25"/>
    <row r="29" spans="1:18" ht="12.75" customHeight="1" x14ac:dyDescent="0.25"/>
    <row r="30" spans="1:18" ht="12.75" customHeight="1" x14ac:dyDescent="0.25"/>
    <row r="31" spans="1:18" ht="13" x14ac:dyDescent="0.3">
      <c r="A31" s="1" t="s">
        <v>0</v>
      </c>
      <c r="B31" s="2" t="s">
        <v>1</v>
      </c>
      <c r="C31" s="2" t="s">
        <v>2</v>
      </c>
      <c r="D31" s="2" t="s">
        <v>3</v>
      </c>
      <c r="E31" s="2" t="s">
        <v>4</v>
      </c>
      <c r="F31" s="2" t="s">
        <v>5</v>
      </c>
      <c r="G31" s="2" t="s">
        <v>6</v>
      </c>
      <c r="H31" s="32" t="s">
        <v>7</v>
      </c>
      <c r="I31" s="1" t="s">
        <v>8</v>
      </c>
      <c r="J31" s="2" t="s">
        <v>10</v>
      </c>
      <c r="K31" s="2" t="s">
        <v>1</v>
      </c>
      <c r="L31" s="2" t="s">
        <v>9</v>
      </c>
      <c r="N31" s="3" t="s">
        <v>103</v>
      </c>
      <c r="O31" s="3" t="s">
        <v>104</v>
      </c>
      <c r="Q31" s="3" t="s">
        <v>94</v>
      </c>
      <c r="R31" s="3" t="s">
        <v>95</v>
      </c>
    </row>
    <row r="32" spans="1:18" ht="13" x14ac:dyDescent="0.3">
      <c r="A32" t="s">
        <v>11</v>
      </c>
      <c r="B32" s="10">
        <v>1484</v>
      </c>
      <c r="C32" s="10">
        <v>833</v>
      </c>
      <c r="D32" s="10">
        <v>68</v>
      </c>
      <c r="E32" s="10">
        <v>0</v>
      </c>
      <c r="F32" s="10">
        <v>16</v>
      </c>
      <c r="G32" s="10">
        <v>0</v>
      </c>
      <c r="H32" s="31">
        <v>0</v>
      </c>
      <c r="I32" s="10">
        <f t="shared" ref="I32:I43" si="3">SUM(C32:G32)</f>
        <v>917</v>
      </c>
      <c r="J32" s="10">
        <v>808</v>
      </c>
      <c r="K32" s="285">
        <v>-0.12551561579257514</v>
      </c>
      <c r="L32" s="286">
        <v>-0.14538676607642126</v>
      </c>
      <c r="M32" s="22"/>
      <c r="N32" s="143">
        <v>-213</v>
      </c>
      <c r="O32" s="143">
        <v>-156</v>
      </c>
      <c r="Q32" s="12">
        <v>1697</v>
      </c>
      <c r="R32" s="12">
        <v>1073</v>
      </c>
    </row>
    <row r="33" spans="1:18" ht="13" x14ac:dyDescent="0.3">
      <c r="A33" t="s">
        <v>12</v>
      </c>
      <c r="B33" s="10">
        <v>1236</v>
      </c>
      <c r="C33" s="10">
        <v>736</v>
      </c>
      <c r="D33" s="10">
        <v>56</v>
      </c>
      <c r="E33" s="10">
        <v>0</v>
      </c>
      <c r="F33" s="10">
        <v>4</v>
      </c>
      <c r="G33" s="10">
        <v>0</v>
      </c>
      <c r="H33" s="31">
        <v>0</v>
      </c>
      <c r="I33" s="10">
        <f t="shared" si="3"/>
        <v>796</v>
      </c>
      <c r="J33" s="10">
        <v>592</v>
      </c>
      <c r="K33" s="285">
        <v>-0.23562152133580705</v>
      </c>
      <c r="L33" s="287">
        <v>-0.19677093844601412</v>
      </c>
      <c r="M33" s="22"/>
      <c r="N33" s="143">
        <v>-381</v>
      </c>
      <c r="O33" s="143">
        <v>-195</v>
      </c>
      <c r="Q33" s="12">
        <v>1617</v>
      </c>
      <c r="R33" s="12">
        <v>991</v>
      </c>
    </row>
    <row r="34" spans="1:18" ht="13" x14ac:dyDescent="0.3">
      <c r="A34" t="s">
        <v>13</v>
      </c>
      <c r="B34" s="10">
        <v>1700</v>
      </c>
      <c r="C34" s="10">
        <v>1035</v>
      </c>
      <c r="D34" s="10">
        <v>82</v>
      </c>
      <c r="E34" s="10">
        <v>0</v>
      </c>
      <c r="F34" s="10">
        <v>31</v>
      </c>
      <c r="G34" s="10">
        <v>0</v>
      </c>
      <c r="H34" s="31">
        <v>0</v>
      </c>
      <c r="I34" s="10">
        <f t="shared" si="3"/>
        <v>1148</v>
      </c>
      <c r="J34" s="10">
        <v>1068</v>
      </c>
      <c r="K34" s="285">
        <v>-0.16338582677165353</v>
      </c>
      <c r="L34" s="287">
        <v>-1.119724375538329E-2</v>
      </c>
      <c r="M34" s="22"/>
      <c r="N34" s="143">
        <v>-332</v>
      </c>
      <c r="O34" s="143">
        <v>-13</v>
      </c>
      <c r="Q34" s="12">
        <v>2032</v>
      </c>
      <c r="R34" s="12">
        <v>1161</v>
      </c>
    </row>
    <row r="35" spans="1:18" ht="13" x14ac:dyDescent="0.3">
      <c r="A35" t="s">
        <v>14</v>
      </c>
      <c r="B35" s="10">
        <v>2035</v>
      </c>
      <c r="C35" s="10">
        <v>1189</v>
      </c>
      <c r="D35" s="10">
        <v>118</v>
      </c>
      <c r="E35" s="10">
        <v>0</v>
      </c>
      <c r="F35" s="10">
        <v>30</v>
      </c>
      <c r="G35" s="10">
        <v>20</v>
      </c>
      <c r="H35" s="31">
        <v>0</v>
      </c>
      <c r="I35" s="10">
        <f t="shared" si="3"/>
        <v>1357</v>
      </c>
      <c r="J35" s="10">
        <v>1420</v>
      </c>
      <c r="K35" s="285">
        <v>-0.15490033222591362</v>
      </c>
      <c r="L35" s="287">
        <v>-1.2372634643377001E-2</v>
      </c>
      <c r="M35" s="22"/>
      <c r="N35" s="143">
        <v>-373</v>
      </c>
      <c r="O35" s="143">
        <v>-17</v>
      </c>
      <c r="Q35" s="12">
        <v>2408</v>
      </c>
      <c r="R35" s="12">
        <v>1374</v>
      </c>
    </row>
    <row r="36" spans="1:18" ht="13" x14ac:dyDescent="0.3">
      <c r="A36" t="s">
        <v>15</v>
      </c>
      <c r="B36" s="10">
        <v>2797</v>
      </c>
      <c r="C36" s="10">
        <v>1483</v>
      </c>
      <c r="D36" s="10">
        <v>102</v>
      </c>
      <c r="E36" s="10">
        <v>4</v>
      </c>
      <c r="F36" s="10">
        <v>26</v>
      </c>
      <c r="G36" s="10">
        <v>49</v>
      </c>
      <c r="H36" s="31">
        <v>0</v>
      </c>
      <c r="I36" s="10">
        <f t="shared" si="3"/>
        <v>1664</v>
      </c>
      <c r="J36" s="10">
        <v>1276</v>
      </c>
      <c r="K36" s="285">
        <v>-9.2472420506164832E-2</v>
      </c>
      <c r="L36" s="287">
        <v>3.418272218769422E-2</v>
      </c>
      <c r="M36" s="22"/>
      <c r="N36" s="143">
        <v>-285</v>
      </c>
      <c r="O36" s="143">
        <v>55</v>
      </c>
      <c r="Q36" s="12">
        <v>3082</v>
      </c>
      <c r="R36" s="12">
        <v>1609</v>
      </c>
    </row>
    <row r="37" spans="1:18" ht="13" x14ac:dyDescent="0.3">
      <c r="A37" t="s">
        <v>16</v>
      </c>
      <c r="B37" s="10">
        <v>3679</v>
      </c>
      <c r="C37" s="10">
        <v>1771</v>
      </c>
      <c r="D37" s="10">
        <v>103</v>
      </c>
      <c r="E37" s="10">
        <v>16</v>
      </c>
      <c r="F37" s="10">
        <v>41</v>
      </c>
      <c r="G37" s="10">
        <v>223</v>
      </c>
      <c r="H37" s="31">
        <v>0</v>
      </c>
      <c r="I37" s="10">
        <f>SUM(C37:G37)</f>
        <v>2154</v>
      </c>
      <c r="J37" s="10">
        <v>1550</v>
      </c>
      <c r="K37" s="285">
        <v>-0.10048899755501223</v>
      </c>
      <c r="L37" s="287">
        <v>4.6647230320699708E-2</v>
      </c>
      <c r="M37" s="22"/>
      <c r="N37" s="143">
        <v>-411</v>
      </c>
      <c r="O37" s="143">
        <v>96</v>
      </c>
      <c r="Q37" s="12">
        <v>4090</v>
      </c>
      <c r="R37" s="12">
        <v>2058</v>
      </c>
    </row>
    <row r="38" spans="1:18" ht="13" x14ac:dyDescent="0.3">
      <c r="A38" t="s">
        <v>17</v>
      </c>
      <c r="B38" s="10">
        <v>6390</v>
      </c>
      <c r="C38" s="10">
        <v>2795</v>
      </c>
      <c r="D38" s="10">
        <v>97</v>
      </c>
      <c r="E38" s="10">
        <v>2</v>
      </c>
      <c r="F38" s="10">
        <v>23</v>
      </c>
      <c r="G38" s="10">
        <v>1055</v>
      </c>
      <c r="H38" s="31">
        <v>0</v>
      </c>
      <c r="I38" s="10">
        <f t="shared" si="3"/>
        <v>3972</v>
      </c>
      <c r="J38" s="10">
        <v>1178</v>
      </c>
      <c r="K38" s="285">
        <v>-1.4345210550670985E-2</v>
      </c>
      <c r="L38" s="287">
        <v>0.12013536379018612</v>
      </c>
      <c r="M38" s="22"/>
      <c r="N38" s="143">
        <v>-93</v>
      </c>
      <c r="O38" s="143">
        <v>426</v>
      </c>
      <c r="Q38" s="12">
        <v>6483</v>
      </c>
      <c r="R38" s="12">
        <v>3546</v>
      </c>
    </row>
    <row r="39" spans="1:18" ht="13" x14ac:dyDescent="0.3">
      <c r="A39" t="s">
        <v>18</v>
      </c>
      <c r="B39" s="10">
        <v>4369</v>
      </c>
      <c r="C39" s="10">
        <v>2017</v>
      </c>
      <c r="D39" s="10">
        <v>77</v>
      </c>
      <c r="E39" s="10">
        <v>10</v>
      </c>
      <c r="F39" s="10">
        <v>34</v>
      </c>
      <c r="G39" s="10">
        <v>566</v>
      </c>
      <c r="H39" s="31">
        <v>0</v>
      </c>
      <c r="I39" s="10">
        <f t="shared" si="3"/>
        <v>2704</v>
      </c>
      <c r="J39" s="10">
        <v>1162</v>
      </c>
      <c r="K39" s="285">
        <v>5.0745550745550747E-2</v>
      </c>
      <c r="L39" s="287">
        <v>8.8128772635814895E-2</v>
      </c>
      <c r="M39" s="22"/>
      <c r="N39" s="143">
        <v>211</v>
      </c>
      <c r="O39" s="143">
        <v>219</v>
      </c>
      <c r="Q39" s="12">
        <v>4158</v>
      </c>
      <c r="R39" s="12">
        <v>2485</v>
      </c>
    </row>
    <row r="40" spans="1:18" ht="13" x14ac:dyDescent="0.3">
      <c r="A40" t="s">
        <v>19</v>
      </c>
      <c r="B40" s="10">
        <v>1919</v>
      </c>
      <c r="C40" s="10">
        <v>1139</v>
      </c>
      <c r="D40" s="10">
        <v>60</v>
      </c>
      <c r="E40" s="10">
        <v>0</v>
      </c>
      <c r="F40" s="10">
        <v>28</v>
      </c>
      <c r="G40" s="10">
        <v>28</v>
      </c>
      <c r="H40" s="31">
        <v>0</v>
      </c>
      <c r="I40" s="10">
        <f>SUM(C40:G40)</f>
        <v>1255</v>
      </c>
      <c r="J40" s="10">
        <v>824</v>
      </c>
      <c r="K40" s="285">
        <v>-0.16601477618426771</v>
      </c>
      <c r="L40" s="287">
        <v>-0.16053511705685619</v>
      </c>
      <c r="M40" s="22"/>
      <c r="N40" s="143">
        <v>-382</v>
      </c>
      <c r="O40" s="143">
        <v>-240</v>
      </c>
      <c r="Q40" s="12">
        <v>2301</v>
      </c>
      <c r="R40" s="12">
        <v>1495</v>
      </c>
    </row>
    <row r="41" spans="1:18" ht="13" x14ac:dyDescent="0.3">
      <c r="A41" t="s">
        <v>20</v>
      </c>
      <c r="B41" s="10">
        <v>2041</v>
      </c>
      <c r="C41" s="10">
        <v>1205</v>
      </c>
      <c r="D41" s="10">
        <v>94</v>
      </c>
      <c r="E41" s="10">
        <v>2</v>
      </c>
      <c r="F41" s="10">
        <v>36</v>
      </c>
      <c r="G41" s="10">
        <v>32</v>
      </c>
      <c r="H41" s="31">
        <v>0</v>
      </c>
      <c r="I41" s="10">
        <f>SUM(C41:G41)</f>
        <v>1369</v>
      </c>
      <c r="J41" s="10">
        <v>1252</v>
      </c>
      <c r="K41" s="285">
        <v>0.10623306233062331</v>
      </c>
      <c r="L41" s="287">
        <v>9.2577813248204313E-2</v>
      </c>
      <c r="M41" s="22"/>
      <c r="N41" s="143">
        <v>196</v>
      </c>
      <c r="O41" s="143">
        <v>116</v>
      </c>
      <c r="Q41" s="12">
        <v>1845</v>
      </c>
      <c r="R41" s="12">
        <v>1253</v>
      </c>
    </row>
    <row r="42" spans="1:18" ht="13" x14ac:dyDescent="0.3">
      <c r="A42" t="s">
        <v>21</v>
      </c>
      <c r="B42" s="10">
        <v>1655</v>
      </c>
      <c r="C42" s="10">
        <v>990</v>
      </c>
      <c r="D42" s="10">
        <v>82</v>
      </c>
      <c r="E42" s="10">
        <v>0</v>
      </c>
      <c r="F42" s="10">
        <v>7</v>
      </c>
      <c r="G42" s="10">
        <v>9</v>
      </c>
      <c r="H42" s="31">
        <v>0</v>
      </c>
      <c r="I42" s="10">
        <f t="shared" si="3"/>
        <v>1088</v>
      </c>
      <c r="J42" s="10">
        <v>876</v>
      </c>
      <c r="K42" s="285">
        <v>3.5021888680425266E-2</v>
      </c>
      <c r="L42" s="287">
        <v>3.7178265014299335E-2</v>
      </c>
      <c r="M42" s="22"/>
      <c r="N42" s="143">
        <v>56</v>
      </c>
      <c r="O42" s="143">
        <v>39</v>
      </c>
      <c r="Q42" s="12">
        <v>1599</v>
      </c>
      <c r="R42" s="12">
        <v>1049</v>
      </c>
    </row>
    <row r="43" spans="1:18" ht="13" x14ac:dyDescent="0.3">
      <c r="A43" s="4" t="s">
        <v>22</v>
      </c>
      <c r="B43" s="11">
        <v>1382</v>
      </c>
      <c r="C43" s="11">
        <v>757</v>
      </c>
      <c r="D43" s="11">
        <v>82</v>
      </c>
      <c r="E43" s="11">
        <v>0</v>
      </c>
      <c r="F43" s="11">
        <v>24</v>
      </c>
      <c r="G43" s="11">
        <v>0</v>
      </c>
      <c r="H43" s="30">
        <v>0</v>
      </c>
      <c r="I43" s="11">
        <f t="shared" si="3"/>
        <v>863</v>
      </c>
      <c r="J43" s="11">
        <v>1012</v>
      </c>
      <c r="K43" s="288">
        <v>-0.1588557516737675</v>
      </c>
      <c r="L43" s="289">
        <v>-0.16859344894026976</v>
      </c>
      <c r="M43" s="22"/>
      <c r="N43" s="169">
        <v>-261</v>
      </c>
      <c r="O43" s="169">
        <v>-175</v>
      </c>
      <c r="Q43" s="20">
        <v>1643</v>
      </c>
      <c r="R43" s="20">
        <v>1038</v>
      </c>
    </row>
    <row r="44" spans="1:18" ht="13" x14ac:dyDescent="0.3">
      <c r="A44" s="3" t="s">
        <v>106</v>
      </c>
      <c r="B44" s="8">
        <f t="shared" ref="B44:H44" si="4">SUM(B32:B43)</f>
        <v>30687</v>
      </c>
      <c r="C44" s="8">
        <f t="shared" si="4"/>
        <v>15950</v>
      </c>
      <c r="D44" s="8">
        <f t="shared" si="4"/>
        <v>1021</v>
      </c>
      <c r="E44" s="8">
        <f t="shared" si="4"/>
        <v>34</v>
      </c>
      <c r="F44" s="8">
        <f t="shared" si="4"/>
        <v>300</v>
      </c>
      <c r="G44" s="8">
        <f t="shared" si="4"/>
        <v>1982</v>
      </c>
      <c r="H44" s="31">
        <f t="shared" si="4"/>
        <v>0</v>
      </c>
      <c r="I44" s="8">
        <f>SUM(I32:I43)</f>
        <v>19287</v>
      </c>
      <c r="J44" s="8">
        <f t="shared" ref="J44" si="5">SUM(J32:J43)</f>
        <v>13018</v>
      </c>
      <c r="K44" s="285">
        <v>-6.8821119708693673E-2</v>
      </c>
      <c r="L44" s="286">
        <v>8.1016098682835033E-3</v>
      </c>
      <c r="M44" s="22"/>
      <c r="N44" s="143">
        <v>-2268</v>
      </c>
      <c r="O44" s="143">
        <v>155</v>
      </c>
      <c r="Q44" s="12">
        <v>32955</v>
      </c>
      <c r="R44" s="12">
        <v>19132</v>
      </c>
    </row>
    <row r="45" spans="1:18" ht="13" x14ac:dyDescent="0.3">
      <c r="A45" s="5" t="s">
        <v>93</v>
      </c>
      <c r="B45" s="9">
        <v>32955</v>
      </c>
      <c r="C45" s="9">
        <v>16290</v>
      </c>
      <c r="D45" s="9">
        <v>969</v>
      </c>
      <c r="E45" s="9">
        <v>28</v>
      </c>
      <c r="F45" s="9">
        <v>324</v>
      </c>
      <c r="G45" s="9">
        <v>1521</v>
      </c>
      <c r="H45" s="9">
        <v>0</v>
      </c>
      <c r="I45" s="9">
        <v>19132</v>
      </c>
      <c r="J45" s="9">
        <v>12618</v>
      </c>
      <c r="K45" s="47">
        <v>6.8337277531040297E-2</v>
      </c>
      <c r="L45" s="120">
        <v>1.7280799702238527E-2</v>
      </c>
    </row>
    <row r="46" spans="1:18" ht="13" x14ac:dyDescent="0.3">
      <c r="A46" s="5" t="s">
        <v>23</v>
      </c>
      <c r="B46" s="9">
        <f t="shared" ref="B46:J46" si="6">B44-B45</f>
        <v>-2268</v>
      </c>
      <c r="C46" s="9">
        <f t="shared" si="6"/>
        <v>-340</v>
      </c>
      <c r="D46" s="9">
        <f t="shared" si="6"/>
        <v>52</v>
      </c>
      <c r="E46" s="9">
        <f t="shared" si="6"/>
        <v>6</v>
      </c>
      <c r="F46" s="9">
        <f t="shared" si="6"/>
        <v>-24</v>
      </c>
      <c r="G46" s="9">
        <f t="shared" si="6"/>
        <v>461</v>
      </c>
      <c r="H46" s="30">
        <f t="shared" si="6"/>
        <v>0</v>
      </c>
      <c r="I46" s="9">
        <f t="shared" si="6"/>
        <v>155</v>
      </c>
      <c r="J46" s="9">
        <f t="shared" si="6"/>
        <v>400</v>
      </c>
      <c r="K46" s="19"/>
      <c r="L46" s="121"/>
    </row>
    <row r="48" spans="1:18" ht="13" thickBot="1" x14ac:dyDescent="0.3"/>
    <row r="49" spans="1:18" ht="12.75" customHeight="1" x14ac:dyDescent="0.25">
      <c r="B49" s="368"/>
      <c r="C49" s="369"/>
      <c r="D49" s="369"/>
      <c r="E49" s="369"/>
      <c r="F49" s="369"/>
      <c r="G49" s="369"/>
      <c r="H49" s="370"/>
    </row>
    <row r="50" spans="1:18" ht="18" x14ac:dyDescent="0.25">
      <c r="B50" s="371"/>
      <c r="D50" s="335" t="s">
        <v>168</v>
      </c>
      <c r="H50" s="372"/>
    </row>
    <row r="51" spans="1:18" ht="12.75" customHeight="1" thickBot="1" x14ac:dyDescent="0.3">
      <c r="B51" s="373"/>
      <c r="C51" s="374"/>
      <c r="D51" s="374"/>
      <c r="E51" s="374"/>
      <c r="F51" s="374"/>
      <c r="G51" s="374"/>
      <c r="H51" s="375"/>
    </row>
    <row r="52" spans="1:18" ht="12.75" customHeight="1" x14ac:dyDescent="0.25"/>
    <row r="53" spans="1:18" ht="12.75" customHeight="1" x14ac:dyDescent="0.3">
      <c r="A53" s="1" t="s">
        <v>0</v>
      </c>
      <c r="B53" s="2" t="s">
        <v>1</v>
      </c>
      <c r="C53" s="2" t="s">
        <v>2</v>
      </c>
      <c r="D53" s="2" t="s">
        <v>3</v>
      </c>
      <c r="E53" s="2" t="s">
        <v>4</v>
      </c>
      <c r="F53" s="2" t="s">
        <v>5</v>
      </c>
      <c r="G53" s="2" t="s">
        <v>6</v>
      </c>
      <c r="H53" s="32" t="s">
        <v>7</v>
      </c>
      <c r="I53" s="1" t="s">
        <v>8</v>
      </c>
      <c r="J53" s="2" t="s">
        <v>10</v>
      </c>
      <c r="K53" s="2" t="s">
        <v>1</v>
      </c>
      <c r="L53" s="2" t="s">
        <v>9</v>
      </c>
      <c r="N53" s="3" t="s">
        <v>129</v>
      </c>
      <c r="O53" s="3" t="s">
        <v>130</v>
      </c>
      <c r="Q53" s="3" t="s">
        <v>103</v>
      </c>
      <c r="R53" s="3" t="s">
        <v>104</v>
      </c>
    </row>
    <row r="54" spans="1:18" ht="12.75" customHeight="1" x14ac:dyDescent="0.3">
      <c r="A54" t="s">
        <v>11</v>
      </c>
      <c r="B54" s="10">
        <v>1312</v>
      </c>
      <c r="C54" s="10">
        <v>787</v>
      </c>
      <c r="D54" s="10">
        <v>62</v>
      </c>
      <c r="E54" s="10">
        <v>0</v>
      </c>
      <c r="F54" s="10">
        <v>6</v>
      </c>
      <c r="G54" s="10">
        <v>4</v>
      </c>
      <c r="H54" s="31">
        <v>0</v>
      </c>
      <c r="I54" s="10">
        <f t="shared" ref="I54:I65" si="7">SUM(C54:G54)</f>
        <v>859</v>
      </c>
      <c r="J54" s="10">
        <v>668</v>
      </c>
      <c r="K54" s="285">
        <f>N54/Q54</f>
        <v>-0.11590296495956873</v>
      </c>
      <c r="L54" s="286">
        <f>O54/R54</f>
        <v>-6.3249727371864781E-2</v>
      </c>
      <c r="N54" s="143">
        <f t="shared" ref="N54:N65" si="8">B54-Q54</f>
        <v>-172</v>
      </c>
      <c r="O54" s="143">
        <f>I54-R54</f>
        <v>-58</v>
      </c>
      <c r="Q54" s="12">
        <v>1484</v>
      </c>
      <c r="R54" s="12">
        <v>917</v>
      </c>
    </row>
    <row r="55" spans="1:18" ht="12.75" customHeight="1" x14ac:dyDescent="0.3">
      <c r="A55" t="s">
        <v>12</v>
      </c>
      <c r="B55" s="10">
        <v>1277</v>
      </c>
      <c r="C55" s="10">
        <v>751</v>
      </c>
      <c r="D55" s="10">
        <v>80</v>
      </c>
      <c r="E55" s="10">
        <v>0</v>
      </c>
      <c r="F55" s="10">
        <v>20</v>
      </c>
      <c r="G55" s="10">
        <v>0</v>
      </c>
      <c r="H55" s="31">
        <v>0</v>
      </c>
      <c r="I55" s="10">
        <f t="shared" si="7"/>
        <v>851</v>
      </c>
      <c r="J55" s="10">
        <v>960</v>
      </c>
      <c r="K55" s="285">
        <f t="shared" ref="K55:L66" si="9">N55/Q55</f>
        <v>3.3171521035598707E-2</v>
      </c>
      <c r="L55" s="287">
        <f t="shared" si="9"/>
        <v>6.9095477386934667E-2</v>
      </c>
      <c r="N55" s="143">
        <f t="shared" si="8"/>
        <v>41</v>
      </c>
      <c r="O55" s="143">
        <f t="shared" ref="O55:O65" si="10">I55-R55</f>
        <v>55</v>
      </c>
      <c r="Q55" s="12">
        <v>1236</v>
      </c>
      <c r="R55" s="12">
        <v>796</v>
      </c>
    </row>
    <row r="56" spans="1:18" ht="12.75" customHeight="1" x14ac:dyDescent="0.3">
      <c r="A56" t="s">
        <v>13</v>
      </c>
      <c r="B56" s="10">
        <v>1537</v>
      </c>
      <c r="C56" s="10">
        <v>923</v>
      </c>
      <c r="D56" s="10">
        <v>80</v>
      </c>
      <c r="E56" s="10">
        <v>0</v>
      </c>
      <c r="F56" s="10">
        <v>6</v>
      </c>
      <c r="G56" s="10">
        <v>8</v>
      </c>
      <c r="H56" s="31">
        <v>0</v>
      </c>
      <c r="I56" s="10">
        <f t="shared" si="7"/>
        <v>1017</v>
      </c>
      <c r="J56" s="10">
        <v>848</v>
      </c>
      <c r="K56" s="285">
        <f t="shared" si="9"/>
        <v>-9.5882352941176474E-2</v>
      </c>
      <c r="L56" s="287">
        <f t="shared" si="9"/>
        <v>-0.11411149825783973</v>
      </c>
      <c r="N56" s="143">
        <f t="shared" si="8"/>
        <v>-163</v>
      </c>
      <c r="O56" s="143">
        <f t="shared" si="10"/>
        <v>-131</v>
      </c>
      <c r="Q56" s="12">
        <v>1700</v>
      </c>
      <c r="R56" s="12">
        <v>1148</v>
      </c>
    </row>
    <row r="57" spans="1:18" ht="12.75" customHeight="1" x14ac:dyDescent="0.3">
      <c r="A57" t="s">
        <v>14</v>
      </c>
      <c r="B57" s="10">
        <v>2069</v>
      </c>
      <c r="C57" s="10">
        <v>1195</v>
      </c>
      <c r="D57" s="10">
        <v>86</v>
      </c>
      <c r="E57" s="10">
        <v>0</v>
      </c>
      <c r="F57" s="10">
        <v>26</v>
      </c>
      <c r="G57" s="10">
        <v>25</v>
      </c>
      <c r="H57" s="31">
        <v>0</v>
      </c>
      <c r="I57" s="10">
        <f t="shared" si="7"/>
        <v>1332</v>
      </c>
      <c r="J57" s="10">
        <v>1068</v>
      </c>
      <c r="K57" s="285">
        <f t="shared" si="9"/>
        <v>1.6707616707616706E-2</v>
      </c>
      <c r="L57" s="287">
        <f t="shared" si="9"/>
        <v>-1.8422991893883568E-2</v>
      </c>
      <c r="N57" s="143">
        <f t="shared" si="8"/>
        <v>34</v>
      </c>
      <c r="O57" s="143">
        <f t="shared" si="10"/>
        <v>-25</v>
      </c>
      <c r="Q57" s="12">
        <v>2035</v>
      </c>
      <c r="R57" s="12">
        <v>1357</v>
      </c>
    </row>
    <row r="58" spans="1:18" ht="12.75" customHeight="1" x14ac:dyDescent="0.3">
      <c r="A58" t="s">
        <v>15</v>
      </c>
      <c r="B58" s="10">
        <v>2702</v>
      </c>
      <c r="C58" s="10">
        <v>1312</v>
      </c>
      <c r="D58" s="10">
        <v>90</v>
      </c>
      <c r="E58" s="10">
        <v>8</v>
      </c>
      <c r="F58" s="10">
        <v>16</v>
      </c>
      <c r="G58" s="10">
        <v>56</v>
      </c>
      <c r="H58" s="31">
        <v>0</v>
      </c>
      <c r="I58" s="10">
        <f t="shared" si="7"/>
        <v>1482</v>
      </c>
      <c r="J58" s="10">
        <v>1124</v>
      </c>
      <c r="K58" s="285">
        <f t="shared" si="9"/>
        <v>-3.3964962459778335E-2</v>
      </c>
      <c r="L58" s="287">
        <f t="shared" si="9"/>
        <v>-0.109375</v>
      </c>
      <c r="N58" s="143">
        <f t="shared" si="8"/>
        <v>-95</v>
      </c>
      <c r="O58" s="143">
        <f t="shared" si="10"/>
        <v>-182</v>
      </c>
      <c r="Q58" s="12">
        <v>2797</v>
      </c>
      <c r="R58" s="12">
        <v>1664</v>
      </c>
    </row>
    <row r="59" spans="1:18" ht="12.75" customHeight="1" x14ac:dyDescent="0.3">
      <c r="A59" t="s">
        <v>16</v>
      </c>
      <c r="B59" s="10">
        <v>3601</v>
      </c>
      <c r="C59" s="10">
        <v>1749</v>
      </c>
      <c r="D59" s="10">
        <v>71</v>
      </c>
      <c r="E59" s="10">
        <v>17</v>
      </c>
      <c r="F59" s="10">
        <v>42</v>
      </c>
      <c r="G59" s="10">
        <v>218</v>
      </c>
      <c r="H59" s="31">
        <v>0</v>
      </c>
      <c r="I59" s="10">
        <f t="shared" si="7"/>
        <v>2097</v>
      </c>
      <c r="J59" s="10">
        <v>1250</v>
      </c>
      <c r="K59" s="285">
        <f t="shared" si="9"/>
        <v>-2.1201413427561839E-2</v>
      </c>
      <c r="L59" s="287">
        <f t="shared" si="9"/>
        <v>-2.6462395543175487E-2</v>
      </c>
      <c r="N59" s="143">
        <f t="shared" si="8"/>
        <v>-78</v>
      </c>
      <c r="O59" s="143">
        <f t="shared" si="10"/>
        <v>-57</v>
      </c>
      <c r="Q59" s="12">
        <v>3679</v>
      </c>
      <c r="R59" s="12">
        <v>2154</v>
      </c>
    </row>
    <row r="60" spans="1:18" ht="12.75" customHeight="1" x14ac:dyDescent="0.3">
      <c r="A60" t="s">
        <v>17</v>
      </c>
      <c r="B60" s="10">
        <v>6222</v>
      </c>
      <c r="C60" s="10">
        <v>2692</v>
      </c>
      <c r="D60" s="10">
        <v>74</v>
      </c>
      <c r="E60" s="10">
        <v>6</v>
      </c>
      <c r="F60" s="10">
        <v>33</v>
      </c>
      <c r="G60" s="10">
        <v>723</v>
      </c>
      <c r="H60" s="31">
        <v>0</v>
      </c>
      <c r="I60" s="10">
        <f t="shared" si="7"/>
        <v>3528</v>
      </c>
      <c r="J60" s="10">
        <v>1076</v>
      </c>
      <c r="K60" s="285">
        <f t="shared" si="9"/>
        <v>-2.6291079812206571E-2</v>
      </c>
      <c r="L60" s="287">
        <f t="shared" si="9"/>
        <v>-0.11178247734138973</v>
      </c>
      <c r="N60" s="143">
        <f t="shared" si="8"/>
        <v>-168</v>
      </c>
      <c r="O60" s="143">
        <f t="shared" si="10"/>
        <v>-444</v>
      </c>
      <c r="Q60" s="12">
        <v>6390</v>
      </c>
      <c r="R60" s="12">
        <v>3972</v>
      </c>
    </row>
    <row r="61" spans="1:18" ht="12.75" customHeight="1" x14ac:dyDescent="0.3">
      <c r="A61" t="s">
        <v>18</v>
      </c>
      <c r="B61" s="10">
        <v>4201</v>
      </c>
      <c r="C61" s="10">
        <v>1822</v>
      </c>
      <c r="D61" s="10">
        <v>104</v>
      </c>
      <c r="E61" s="10">
        <v>10</v>
      </c>
      <c r="F61" s="10">
        <v>28</v>
      </c>
      <c r="G61" s="10">
        <v>567</v>
      </c>
      <c r="H61" s="31">
        <v>0</v>
      </c>
      <c r="I61" s="10">
        <f t="shared" si="7"/>
        <v>2531</v>
      </c>
      <c r="J61" s="10">
        <v>1384</v>
      </c>
      <c r="K61" s="285">
        <f t="shared" si="9"/>
        <v>-3.8452735179674985E-2</v>
      </c>
      <c r="L61" s="287">
        <f t="shared" si="9"/>
        <v>-6.3979289940828396E-2</v>
      </c>
      <c r="N61" s="143">
        <f t="shared" si="8"/>
        <v>-168</v>
      </c>
      <c r="O61" s="143">
        <f t="shared" si="10"/>
        <v>-173</v>
      </c>
      <c r="Q61" s="12">
        <v>4369</v>
      </c>
      <c r="R61" s="12">
        <v>2704</v>
      </c>
    </row>
    <row r="62" spans="1:18" ht="12.75" customHeight="1" x14ac:dyDescent="0.3">
      <c r="A62" t="s">
        <v>19</v>
      </c>
      <c r="B62" s="10">
        <v>2238</v>
      </c>
      <c r="C62" s="10">
        <v>1179</v>
      </c>
      <c r="D62" s="10">
        <v>84</v>
      </c>
      <c r="E62" s="10">
        <v>6</v>
      </c>
      <c r="F62" s="10">
        <v>26</v>
      </c>
      <c r="G62" s="10">
        <v>59</v>
      </c>
      <c r="H62" s="31">
        <v>0</v>
      </c>
      <c r="I62" s="10">
        <f t="shared" si="7"/>
        <v>1354</v>
      </c>
      <c r="J62" s="10">
        <v>1120</v>
      </c>
      <c r="K62" s="285">
        <f>N62/Q62</f>
        <v>0.1662324127149557</v>
      </c>
      <c r="L62" s="287">
        <f t="shared" si="9"/>
        <v>7.8884462151394427E-2</v>
      </c>
      <c r="N62" s="143">
        <f t="shared" si="8"/>
        <v>319</v>
      </c>
      <c r="O62" s="143">
        <f t="shared" si="10"/>
        <v>99</v>
      </c>
      <c r="Q62" s="12">
        <v>1919</v>
      </c>
      <c r="R62" s="12">
        <v>1255</v>
      </c>
    </row>
    <row r="63" spans="1:18" ht="12.75" customHeight="1" x14ac:dyDescent="0.3">
      <c r="A63" t="s">
        <v>20</v>
      </c>
      <c r="B63" s="10">
        <v>2027</v>
      </c>
      <c r="C63" s="10">
        <v>1114</v>
      </c>
      <c r="D63" s="10">
        <v>64</v>
      </c>
      <c r="E63" s="10">
        <v>4</v>
      </c>
      <c r="F63" s="10">
        <v>26</v>
      </c>
      <c r="G63" s="10">
        <v>10</v>
      </c>
      <c r="H63" s="31">
        <v>0</v>
      </c>
      <c r="I63" s="10">
        <f t="shared" si="7"/>
        <v>1218</v>
      </c>
      <c r="J63" s="10">
        <v>896</v>
      </c>
      <c r="K63" s="285">
        <f>N63/Q63</f>
        <v>-6.8593826555609994E-3</v>
      </c>
      <c r="L63" s="287">
        <f t="shared" si="9"/>
        <v>-0.11029948867786706</v>
      </c>
      <c r="N63" s="143">
        <f t="shared" si="8"/>
        <v>-14</v>
      </c>
      <c r="O63" s="143">
        <f t="shared" si="10"/>
        <v>-151</v>
      </c>
      <c r="Q63" s="12">
        <v>2041</v>
      </c>
      <c r="R63" s="12">
        <v>1369</v>
      </c>
    </row>
    <row r="64" spans="1:18" ht="12.75" customHeight="1" x14ac:dyDescent="0.3">
      <c r="A64" t="s">
        <v>21</v>
      </c>
      <c r="B64" s="10">
        <v>1528</v>
      </c>
      <c r="C64" s="10">
        <v>907</v>
      </c>
      <c r="D64" s="10">
        <v>62</v>
      </c>
      <c r="E64" s="10">
        <v>0</v>
      </c>
      <c r="F64" s="10">
        <v>28</v>
      </c>
      <c r="G64" s="10">
        <v>16</v>
      </c>
      <c r="H64" s="31">
        <v>0</v>
      </c>
      <c r="I64" s="10">
        <f t="shared" si="7"/>
        <v>1013</v>
      </c>
      <c r="J64" s="10">
        <v>844</v>
      </c>
      <c r="K64" s="285">
        <f>N64/Q64</f>
        <v>-7.6737160120845915E-2</v>
      </c>
      <c r="L64" s="287">
        <f t="shared" si="9"/>
        <v>-6.893382352941177E-2</v>
      </c>
      <c r="N64" s="143">
        <f t="shared" si="8"/>
        <v>-127</v>
      </c>
      <c r="O64" s="143">
        <f t="shared" si="10"/>
        <v>-75</v>
      </c>
      <c r="Q64" s="12">
        <v>1655</v>
      </c>
      <c r="R64" s="12">
        <v>1088</v>
      </c>
    </row>
    <row r="65" spans="1:18" ht="12.75" customHeight="1" x14ac:dyDescent="0.3">
      <c r="A65" s="4" t="s">
        <v>22</v>
      </c>
      <c r="B65" s="11">
        <v>1432</v>
      </c>
      <c r="C65" s="11">
        <v>812</v>
      </c>
      <c r="D65" s="11">
        <v>66</v>
      </c>
      <c r="E65" s="11">
        <v>0</v>
      </c>
      <c r="F65" s="11">
        <v>12</v>
      </c>
      <c r="G65" s="11">
        <v>2</v>
      </c>
      <c r="H65" s="30">
        <v>0</v>
      </c>
      <c r="I65" s="11">
        <f t="shared" si="7"/>
        <v>892</v>
      </c>
      <c r="J65" s="11">
        <v>756</v>
      </c>
      <c r="K65" s="288">
        <f>N65/Q65</f>
        <v>3.6179450072358899E-2</v>
      </c>
      <c r="L65" s="289">
        <f t="shared" si="9"/>
        <v>3.3603707995365009E-2</v>
      </c>
      <c r="N65" s="169">
        <f t="shared" si="8"/>
        <v>50</v>
      </c>
      <c r="O65" s="169">
        <f t="shared" si="10"/>
        <v>29</v>
      </c>
      <c r="Q65" s="20">
        <v>1382</v>
      </c>
      <c r="R65" s="20">
        <v>863</v>
      </c>
    </row>
    <row r="66" spans="1:18" ht="12.75" customHeight="1" x14ac:dyDescent="0.3">
      <c r="A66" s="3" t="s">
        <v>131</v>
      </c>
      <c r="B66" s="8">
        <f t="shared" ref="B66:H66" si="11">SUM(B54:B65)</f>
        <v>30146</v>
      </c>
      <c r="C66" s="8">
        <f t="shared" si="11"/>
        <v>15243</v>
      </c>
      <c r="D66" s="8">
        <f t="shared" si="11"/>
        <v>923</v>
      </c>
      <c r="E66" s="8">
        <f t="shared" si="11"/>
        <v>51</v>
      </c>
      <c r="F66" s="8">
        <f t="shared" si="11"/>
        <v>269</v>
      </c>
      <c r="G66" s="8">
        <f t="shared" si="11"/>
        <v>1688</v>
      </c>
      <c r="H66" s="31">
        <f t="shared" si="11"/>
        <v>0</v>
      </c>
      <c r="I66" s="8">
        <f>SUM(I54:I65)</f>
        <v>18174</v>
      </c>
      <c r="J66" s="8">
        <f>SUM(J54:J65)</f>
        <v>11994</v>
      </c>
      <c r="K66" s="285">
        <f>N66/Q66</f>
        <v>-1.7629615146478966E-2</v>
      </c>
      <c r="L66" s="286">
        <f t="shared" si="9"/>
        <v>-5.770726396018043E-2</v>
      </c>
      <c r="N66" s="143">
        <f>SUM(N54:N65)</f>
        <v>-541</v>
      </c>
      <c r="O66" s="143">
        <f>SUM(O54:O65)</f>
        <v>-1113</v>
      </c>
      <c r="Q66" s="12">
        <f>SUM(Q54:Q65)</f>
        <v>30687</v>
      </c>
      <c r="R66" s="12">
        <f>SUM(R54:R65)</f>
        <v>19287</v>
      </c>
    </row>
    <row r="67" spans="1:18" ht="12.75" customHeight="1" x14ac:dyDescent="0.3">
      <c r="A67" s="5" t="s">
        <v>106</v>
      </c>
      <c r="B67" s="8">
        <v>30687</v>
      </c>
      <c r="C67" s="8">
        <v>15950</v>
      </c>
      <c r="D67" s="8">
        <v>1021</v>
      </c>
      <c r="E67" s="8">
        <v>34</v>
      </c>
      <c r="F67" s="8">
        <v>300</v>
      </c>
      <c r="G67" s="8">
        <v>1982</v>
      </c>
      <c r="H67" s="31">
        <v>0</v>
      </c>
      <c r="I67" s="8">
        <v>19287</v>
      </c>
      <c r="J67" s="8">
        <v>13018</v>
      </c>
      <c r="K67" s="47">
        <v>6.8337277531040297E-2</v>
      </c>
      <c r="L67" s="120">
        <v>1.7280799702238527E-2</v>
      </c>
    </row>
    <row r="68" spans="1:18" ht="12.75" customHeight="1" x14ac:dyDescent="0.3">
      <c r="A68" s="5" t="s">
        <v>23</v>
      </c>
      <c r="B68" s="9">
        <f t="shared" ref="B68:J68" si="12">B66-B67</f>
        <v>-541</v>
      </c>
      <c r="C68" s="9">
        <f t="shared" si="12"/>
        <v>-707</v>
      </c>
      <c r="D68" s="9">
        <f t="shared" si="12"/>
        <v>-98</v>
      </c>
      <c r="E68" s="9">
        <f t="shared" si="12"/>
        <v>17</v>
      </c>
      <c r="F68" s="9">
        <f t="shared" si="12"/>
        <v>-31</v>
      </c>
      <c r="G68" s="9">
        <f t="shared" si="12"/>
        <v>-294</v>
      </c>
      <c r="H68" s="30">
        <f t="shared" si="12"/>
        <v>0</v>
      </c>
      <c r="I68" s="9">
        <f t="shared" si="12"/>
        <v>-1113</v>
      </c>
      <c r="J68" s="9">
        <f t="shared" si="12"/>
        <v>-1024</v>
      </c>
      <c r="K68" s="19"/>
      <c r="L68" s="121"/>
    </row>
    <row r="69" spans="1:18" ht="12.75" customHeight="1" thickBot="1" x14ac:dyDescent="0.3"/>
    <row r="70" spans="1:18" ht="12.75" customHeight="1" x14ac:dyDescent="0.25">
      <c r="B70" s="368"/>
      <c r="C70" s="369"/>
      <c r="D70" s="369"/>
      <c r="E70" s="369"/>
      <c r="F70" s="369"/>
      <c r="G70" s="369"/>
      <c r="H70" s="370"/>
    </row>
    <row r="71" spans="1:18" ht="18" x14ac:dyDescent="0.25">
      <c r="B71" s="371"/>
      <c r="D71" s="335" t="s">
        <v>169</v>
      </c>
      <c r="H71" s="372"/>
    </row>
    <row r="72" spans="1:18" ht="12.75" customHeight="1" thickBot="1" x14ac:dyDescent="0.3">
      <c r="B72" s="373"/>
      <c r="C72" s="374"/>
      <c r="D72" s="374"/>
      <c r="E72" s="374"/>
      <c r="F72" s="374"/>
      <c r="G72" s="374"/>
      <c r="H72" s="375"/>
    </row>
    <row r="73" spans="1:18" ht="12.75" customHeight="1" x14ac:dyDescent="0.25"/>
    <row r="74" spans="1:18" ht="12.75" customHeight="1" x14ac:dyDescent="0.3">
      <c r="A74" s="1" t="s">
        <v>0</v>
      </c>
      <c r="B74" s="2" t="s">
        <v>1</v>
      </c>
      <c r="C74" s="2" t="s">
        <v>2</v>
      </c>
      <c r="D74" s="2" t="s">
        <v>3</v>
      </c>
      <c r="E74" s="2" t="s">
        <v>4</v>
      </c>
      <c r="F74" s="2" t="s">
        <v>5</v>
      </c>
      <c r="G74" s="2" t="s">
        <v>6</v>
      </c>
      <c r="H74" s="32" t="s">
        <v>7</v>
      </c>
      <c r="I74" s="1" t="s">
        <v>8</v>
      </c>
      <c r="J74" s="2" t="s">
        <v>10</v>
      </c>
      <c r="K74" s="2" t="s">
        <v>1</v>
      </c>
      <c r="L74" s="2" t="s">
        <v>9</v>
      </c>
      <c r="N74" s="3" t="s">
        <v>129</v>
      </c>
      <c r="O74" s="3" t="s">
        <v>130</v>
      </c>
      <c r="Q74" s="3" t="s">
        <v>103</v>
      </c>
      <c r="R74" s="3" t="s">
        <v>104</v>
      </c>
    </row>
    <row r="75" spans="1:18" ht="12.75" customHeight="1" x14ac:dyDescent="0.3">
      <c r="A75" t="s">
        <v>11</v>
      </c>
      <c r="B75" s="10">
        <v>1388</v>
      </c>
      <c r="C75" s="10">
        <v>794</v>
      </c>
      <c r="D75" s="10">
        <v>62</v>
      </c>
      <c r="E75" s="10">
        <v>0</v>
      </c>
      <c r="F75" s="10">
        <v>7</v>
      </c>
      <c r="G75" s="10">
        <v>3</v>
      </c>
      <c r="H75" s="31">
        <v>0</v>
      </c>
      <c r="I75" s="10">
        <f t="shared" ref="I75:I86" si="13">SUM(C75:G75)</f>
        <v>866</v>
      </c>
      <c r="J75" s="10">
        <v>676</v>
      </c>
      <c r="K75" s="285">
        <f>N75/Q75</f>
        <v>5.7926829268292686E-2</v>
      </c>
      <c r="L75" s="286">
        <f>O75/R75</f>
        <v>8.1490104772991845E-3</v>
      </c>
      <c r="N75" s="143">
        <f t="shared" ref="N75:N86" si="14">B75-Q75</f>
        <v>76</v>
      </c>
      <c r="O75" s="143">
        <f>I75-R75</f>
        <v>7</v>
      </c>
      <c r="Q75" s="10">
        <v>1312</v>
      </c>
      <c r="R75" s="10">
        <v>859</v>
      </c>
    </row>
    <row r="76" spans="1:18" ht="12.75" customHeight="1" x14ac:dyDescent="0.3">
      <c r="A76" t="s">
        <v>12</v>
      </c>
      <c r="B76" s="10">
        <v>1291</v>
      </c>
      <c r="C76" s="10">
        <v>748</v>
      </c>
      <c r="D76" s="10">
        <v>54</v>
      </c>
      <c r="E76" s="10">
        <v>0</v>
      </c>
      <c r="F76" s="10">
        <v>2</v>
      </c>
      <c r="G76" s="10">
        <v>6</v>
      </c>
      <c r="H76" s="31">
        <v>0</v>
      </c>
      <c r="I76" s="10">
        <f t="shared" si="13"/>
        <v>810</v>
      </c>
      <c r="J76" s="10">
        <v>556</v>
      </c>
      <c r="K76" s="285">
        <f t="shared" ref="K76:L87" si="15">N76/Q76</f>
        <v>1.0963194988253719E-2</v>
      </c>
      <c r="L76" s="287">
        <f t="shared" si="15"/>
        <v>-4.8178613396004703E-2</v>
      </c>
      <c r="N76" s="143">
        <f t="shared" si="14"/>
        <v>14</v>
      </c>
      <c r="O76" s="143">
        <f t="shared" ref="O76:O86" si="16">I76-R76</f>
        <v>-41</v>
      </c>
      <c r="Q76" s="10">
        <v>1277</v>
      </c>
      <c r="R76" s="10">
        <v>851</v>
      </c>
    </row>
    <row r="77" spans="1:18" ht="12.75" customHeight="1" x14ac:dyDescent="0.3">
      <c r="A77" t="s">
        <v>13</v>
      </c>
      <c r="B77" s="10">
        <v>1643</v>
      </c>
      <c r="C77" s="10">
        <v>964</v>
      </c>
      <c r="D77" s="10">
        <v>104</v>
      </c>
      <c r="E77" s="10">
        <v>0</v>
      </c>
      <c r="F77" s="10">
        <v>14</v>
      </c>
      <c r="G77" s="10">
        <v>14</v>
      </c>
      <c r="H77" s="31">
        <v>0</v>
      </c>
      <c r="I77" s="10">
        <f t="shared" si="13"/>
        <v>1096</v>
      </c>
      <c r="J77" s="10">
        <v>1152</v>
      </c>
      <c r="K77" s="285">
        <f t="shared" si="15"/>
        <v>6.8965517241379309E-2</v>
      </c>
      <c r="L77" s="287">
        <f t="shared" si="15"/>
        <v>7.7679449360865294E-2</v>
      </c>
      <c r="N77" s="143">
        <f t="shared" si="14"/>
        <v>106</v>
      </c>
      <c r="O77" s="143">
        <f t="shared" si="16"/>
        <v>79</v>
      </c>
      <c r="Q77" s="10">
        <v>1537</v>
      </c>
      <c r="R77" s="10">
        <v>1017</v>
      </c>
    </row>
    <row r="78" spans="1:18" ht="12.75" customHeight="1" x14ac:dyDescent="0.3">
      <c r="A78" t="s">
        <v>14</v>
      </c>
      <c r="B78" s="10">
        <v>1775</v>
      </c>
      <c r="C78" s="10">
        <v>1041</v>
      </c>
      <c r="D78" s="10">
        <v>67</v>
      </c>
      <c r="E78" s="10">
        <v>0</v>
      </c>
      <c r="F78" s="10">
        <v>32</v>
      </c>
      <c r="G78" s="10">
        <v>28</v>
      </c>
      <c r="H78" s="31">
        <v>0</v>
      </c>
      <c r="I78" s="10">
        <f t="shared" si="13"/>
        <v>1168</v>
      </c>
      <c r="J78" s="10">
        <v>926</v>
      </c>
      <c r="K78" s="285">
        <f t="shared" si="15"/>
        <v>-0.14209763170613823</v>
      </c>
      <c r="L78" s="287">
        <f t="shared" si="15"/>
        <v>-0.12312312312312312</v>
      </c>
      <c r="N78" s="143">
        <f t="shared" si="14"/>
        <v>-294</v>
      </c>
      <c r="O78" s="143">
        <f t="shared" si="16"/>
        <v>-164</v>
      </c>
      <c r="Q78" s="10">
        <v>2069</v>
      </c>
      <c r="R78" s="10">
        <v>1332</v>
      </c>
    </row>
    <row r="79" spans="1:18" ht="12.75" customHeight="1" x14ac:dyDescent="0.3">
      <c r="A79" t="s">
        <v>15</v>
      </c>
      <c r="B79" s="10">
        <v>2155</v>
      </c>
      <c r="C79" s="10">
        <v>1305</v>
      </c>
      <c r="D79" s="10">
        <v>70</v>
      </c>
      <c r="E79" s="10">
        <v>2</v>
      </c>
      <c r="F79" s="10">
        <v>34</v>
      </c>
      <c r="G79" s="10">
        <v>34</v>
      </c>
      <c r="H79" s="31">
        <v>0</v>
      </c>
      <c r="I79" s="10">
        <f t="shared" si="13"/>
        <v>1445</v>
      </c>
      <c r="J79" s="10">
        <v>996</v>
      </c>
      <c r="K79" s="285">
        <f t="shared" si="15"/>
        <v>-0.20244263508512214</v>
      </c>
      <c r="L79" s="287">
        <f t="shared" si="15"/>
        <v>-2.4966261808367071E-2</v>
      </c>
      <c r="N79" s="143">
        <f t="shared" si="14"/>
        <v>-547</v>
      </c>
      <c r="O79" s="143">
        <f t="shared" si="16"/>
        <v>-37</v>
      </c>
      <c r="Q79" s="10">
        <v>2702</v>
      </c>
      <c r="R79" s="10">
        <v>1482</v>
      </c>
    </row>
    <row r="80" spans="1:18" ht="12.75" customHeight="1" x14ac:dyDescent="0.3">
      <c r="A80" t="s">
        <v>16</v>
      </c>
      <c r="B80" s="10">
        <v>2824</v>
      </c>
      <c r="C80" s="10">
        <v>1601</v>
      </c>
      <c r="D80" s="10">
        <v>62</v>
      </c>
      <c r="E80" s="10">
        <v>2</v>
      </c>
      <c r="F80" s="10">
        <v>42</v>
      </c>
      <c r="G80" s="10">
        <v>70</v>
      </c>
      <c r="H80" s="31">
        <v>0</v>
      </c>
      <c r="I80" s="10">
        <f t="shared" si="13"/>
        <v>1777</v>
      </c>
      <c r="J80" s="10">
        <v>980</v>
      </c>
      <c r="K80" s="285">
        <f t="shared" si="15"/>
        <v>-0.21577339627881145</v>
      </c>
      <c r="L80" s="287">
        <f t="shared" si="15"/>
        <v>-0.15259895088221268</v>
      </c>
      <c r="N80" s="143">
        <f t="shared" si="14"/>
        <v>-777</v>
      </c>
      <c r="O80" s="143">
        <f t="shared" si="16"/>
        <v>-320</v>
      </c>
      <c r="Q80" s="10">
        <v>3601</v>
      </c>
      <c r="R80" s="10">
        <v>2097</v>
      </c>
    </row>
    <row r="81" spans="1:18" ht="12.75" customHeight="1" x14ac:dyDescent="0.3">
      <c r="A81" t="s">
        <v>17</v>
      </c>
      <c r="B81" s="10">
        <v>4291</v>
      </c>
      <c r="C81" s="10">
        <v>2057</v>
      </c>
      <c r="D81" s="10">
        <v>73</v>
      </c>
      <c r="E81" s="10">
        <v>0</v>
      </c>
      <c r="F81" s="10">
        <v>28</v>
      </c>
      <c r="G81" s="10">
        <v>300</v>
      </c>
      <c r="H81" s="31">
        <v>0</v>
      </c>
      <c r="I81" s="10">
        <f t="shared" si="13"/>
        <v>2458</v>
      </c>
      <c r="J81" s="10">
        <v>954</v>
      </c>
      <c r="K81" s="285">
        <f t="shared" si="15"/>
        <v>-0.31035036965605917</v>
      </c>
      <c r="L81" s="287">
        <f t="shared" si="15"/>
        <v>-0.30328798185941042</v>
      </c>
      <c r="N81" s="143">
        <f t="shared" si="14"/>
        <v>-1931</v>
      </c>
      <c r="O81" s="143">
        <f t="shared" si="16"/>
        <v>-1070</v>
      </c>
      <c r="Q81" s="10">
        <v>6222</v>
      </c>
      <c r="R81" s="10">
        <v>3528</v>
      </c>
    </row>
    <row r="82" spans="1:18" ht="12.75" customHeight="1" x14ac:dyDescent="0.3">
      <c r="A82" t="s">
        <v>18</v>
      </c>
      <c r="B82" s="10"/>
      <c r="C82" s="10"/>
      <c r="D82" s="10"/>
      <c r="E82" s="10"/>
      <c r="F82" s="10"/>
      <c r="G82" s="10"/>
      <c r="H82" s="31"/>
      <c r="I82" s="10">
        <f t="shared" si="13"/>
        <v>0</v>
      </c>
      <c r="J82" s="10"/>
      <c r="K82" s="285">
        <f t="shared" si="15"/>
        <v>-1</v>
      </c>
      <c r="L82" s="287">
        <f t="shared" si="15"/>
        <v>-1</v>
      </c>
      <c r="N82" s="143">
        <f t="shared" si="14"/>
        <v>-4201</v>
      </c>
      <c r="O82" s="143">
        <f t="shared" si="16"/>
        <v>-2531</v>
      </c>
      <c r="Q82" s="10">
        <v>4201</v>
      </c>
      <c r="R82" s="10">
        <v>2531</v>
      </c>
    </row>
    <row r="83" spans="1:18" ht="12.75" customHeight="1" x14ac:dyDescent="0.3">
      <c r="A83" t="s">
        <v>19</v>
      </c>
      <c r="B83" s="10"/>
      <c r="C83" s="10"/>
      <c r="D83" s="10"/>
      <c r="E83" s="10"/>
      <c r="F83" s="10"/>
      <c r="G83" s="10"/>
      <c r="H83" s="31"/>
      <c r="I83" s="10">
        <f t="shared" si="13"/>
        <v>0</v>
      </c>
      <c r="J83" s="10"/>
      <c r="K83" s="285">
        <f>N83/Q83</f>
        <v>-1</v>
      </c>
      <c r="L83" s="287">
        <f t="shared" si="15"/>
        <v>-1</v>
      </c>
      <c r="N83" s="143">
        <f t="shared" si="14"/>
        <v>-2238</v>
      </c>
      <c r="O83" s="143">
        <f t="shared" si="16"/>
        <v>-1354</v>
      </c>
      <c r="Q83" s="10">
        <v>2238</v>
      </c>
      <c r="R83" s="10">
        <v>1354</v>
      </c>
    </row>
    <row r="84" spans="1:18" ht="12.75" customHeight="1" x14ac:dyDescent="0.3">
      <c r="A84" t="s">
        <v>20</v>
      </c>
      <c r="B84" s="10"/>
      <c r="C84" s="10"/>
      <c r="D84" s="10"/>
      <c r="E84" s="10"/>
      <c r="F84" s="10"/>
      <c r="G84" s="10"/>
      <c r="H84" s="31"/>
      <c r="I84" s="10">
        <f t="shared" si="13"/>
        <v>0</v>
      </c>
      <c r="J84" s="10"/>
      <c r="K84" s="285">
        <f>N84/Q84</f>
        <v>-1</v>
      </c>
      <c r="L84" s="287">
        <f t="shared" si="15"/>
        <v>-1</v>
      </c>
      <c r="N84" s="143">
        <f t="shared" si="14"/>
        <v>-2027</v>
      </c>
      <c r="O84" s="143">
        <f t="shared" si="16"/>
        <v>-1218</v>
      </c>
      <c r="Q84" s="10">
        <v>2027</v>
      </c>
      <c r="R84" s="10">
        <v>1218</v>
      </c>
    </row>
    <row r="85" spans="1:18" ht="12.75" customHeight="1" x14ac:dyDescent="0.3">
      <c r="A85" t="s">
        <v>21</v>
      </c>
      <c r="B85" s="10"/>
      <c r="C85" s="10"/>
      <c r="D85" s="10"/>
      <c r="E85" s="10"/>
      <c r="F85" s="10"/>
      <c r="G85" s="10"/>
      <c r="H85" s="31"/>
      <c r="I85" s="10">
        <f t="shared" si="13"/>
        <v>0</v>
      </c>
      <c r="J85" s="10"/>
      <c r="K85" s="285">
        <f>N85/Q85</f>
        <v>-1</v>
      </c>
      <c r="L85" s="287">
        <f t="shared" si="15"/>
        <v>-1</v>
      </c>
      <c r="N85" s="143">
        <f t="shared" si="14"/>
        <v>-1528</v>
      </c>
      <c r="O85" s="143">
        <f t="shared" si="16"/>
        <v>-1013</v>
      </c>
      <c r="Q85" s="10">
        <v>1528</v>
      </c>
      <c r="R85" s="10">
        <v>1013</v>
      </c>
    </row>
    <row r="86" spans="1:18" ht="12.75" customHeight="1" x14ac:dyDescent="0.3">
      <c r="A86" s="4" t="s">
        <v>22</v>
      </c>
      <c r="B86" s="11"/>
      <c r="C86" s="11"/>
      <c r="D86" s="11"/>
      <c r="E86" s="11"/>
      <c r="F86" s="11"/>
      <c r="G86" s="11"/>
      <c r="H86" s="30"/>
      <c r="I86" s="11">
        <f t="shared" si="13"/>
        <v>0</v>
      </c>
      <c r="J86" s="11"/>
      <c r="K86" s="288">
        <f>N86/Q86</f>
        <v>-1</v>
      </c>
      <c r="L86" s="289">
        <f t="shared" si="15"/>
        <v>-1</v>
      </c>
      <c r="N86" s="169">
        <f t="shared" si="14"/>
        <v>-1432</v>
      </c>
      <c r="O86" s="169">
        <f t="shared" si="16"/>
        <v>-892</v>
      </c>
      <c r="Q86" s="11">
        <v>1432</v>
      </c>
      <c r="R86" s="11">
        <v>892</v>
      </c>
    </row>
    <row r="87" spans="1:18" ht="12.75" customHeight="1" x14ac:dyDescent="0.3">
      <c r="A87" s="3" t="s">
        <v>137</v>
      </c>
      <c r="B87" s="8">
        <f t="shared" ref="B87:H87" si="17">SUM(B75:B86)</f>
        <v>15367</v>
      </c>
      <c r="C87" s="8">
        <f t="shared" si="17"/>
        <v>8510</v>
      </c>
      <c r="D87" s="8">
        <f t="shared" si="17"/>
        <v>492</v>
      </c>
      <c r="E87" s="8">
        <f t="shared" si="17"/>
        <v>4</v>
      </c>
      <c r="F87" s="8">
        <f t="shared" si="17"/>
        <v>159</v>
      </c>
      <c r="G87" s="8">
        <f t="shared" si="17"/>
        <v>455</v>
      </c>
      <c r="H87" s="31">
        <f t="shared" si="17"/>
        <v>0</v>
      </c>
      <c r="I87" s="8">
        <f>SUM(I75:I86)</f>
        <v>9620</v>
      </c>
      <c r="J87" s="8">
        <f>SUM(J75:J86)</f>
        <v>6240</v>
      </c>
      <c r="K87" s="285">
        <f>N87/Q87</f>
        <v>-0.49024746234989719</v>
      </c>
      <c r="L87" s="286">
        <f t="shared" si="15"/>
        <v>-0.47067238912732473</v>
      </c>
      <c r="N87" s="143">
        <f>SUM(N75:N86)</f>
        <v>-14779</v>
      </c>
      <c r="O87" s="143">
        <f>SUM(O75:O86)</f>
        <v>-8554</v>
      </c>
      <c r="Q87" s="12">
        <f>SUM(Q75:Q86)</f>
        <v>30146</v>
      </c>
      <c r="R87" s="12">
        <f>SUM(R75:R86)</f>
        <v>18174</v>
      </c>
    </row>
    <row r="88" spans="1:18" ht="12.75" customHeight="1" x14ac:dyDescent="0.3">
      <c r="A88" s="5" t="s">
        <v>131</v>
      </c>
      <c r="B88" s="8">
        <v>30146</v>
      </c>
      <c r="C88" s="8">
        <v>15243</v>
      </c>
      <c r="D88" s="8">
        <v>923</v>
      </c>
      <c r="E88" s="8">
        <v>51</v>
      </c>
      <c r="F88" s="8">
        <v>269</v>
      </c>
      <c r="G88" s="8">
        <v>1688</v>
      </c>
      <c r="H88" s="31">
        <v>0</v>
      </c>
      <c r="I88" s="8">
        <v>18174</v>
      </c>
      <c r="J88" s="8">
        <v>11994</v>
      </c>
      <c r="K88" s="47">
        <v>6.8337277531040297E-2</v>
      </c>
      <c r="L88" s="120">
        <v>1.7280799702238527E-2</v>
      </c>
    </row>
    <row r="89" spans="1:18" ht="12.75" customHeight="1" x14ac:dyDescent="0.3">
      <c r="A89" s="5" t="s">
        <v>23</v>
      </c>
      <c r="B89" s="9">
        <f t="shared" ref="B89:J89" si="18">B87-B88</f>
        <v>-14779</v>
      </c>
      <c r="C89" s="9">
        <f t="shared" si="18"/>
        <v>-6733</v>
      </c>
      <c r="D89" s="9">
        <f t="shared" si="18"/>
        <v>-431</v>
      </c>
      <c r="E89" s="9">
        <f t="shared" si="18"/>
        <v>-47</v>
      </c>
      <c r="F89" s="9">
        <f t="shared" si="18"/>
        <v>-110</v>
      </c>
      <c r="G89" s="9">
        <f t="shared" si="18"/>
        <v>-1233</v>
      </c>
      <c r="H89" s="30">
        <f t="shared" si="18"/>
        <v>0</v>
      </c>
      <c r="I89" s="9">
        <f t="shared" si="18"/>
        <v>-8554</v>
      </c>
      <c r="J89" s="9">
        <f t="shared" si="18"/>
        <v>-5754</v>
      </c>
      <c r="K89" s="19"/>
      <c r="L89" s="121"/>
    </row>
    <row r="90" spans="1:18" ht="12.75" customHeight="1" x14ac:dyDescent="0.25"/>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W235"/>
  <sheetViews>
    <sheetView topLeftCell="A169" zoomScale="85" zoomScaleNormal="85" workbookViewId="0">
      <selection activeCell="L133" sqref="L133"/>
    </sheetView>
  </sheetViews>
  <sheetFormatPr defaultRowHeight="13.65" customHeight="1" x14ac:dyDescent="0.25"/>
  <cols>
    <col min="1" max="1" width="10.453125" customWidth="1"/>
    <col min="2" max="2" width="8.90625" customWidth="1"/>
    <col min="3" max="3" width="9.453125" customWidth="1"/>
    <col min="4" max="4" width="8.54296875" customWidth="1"/>
    <col min="5" max="5" width="7.453125" customWidth="1"/>
    <col min="6" max="6" width="8.453125" customWidth="1"/>
    <col min="7" max="7" width="8.54296875" customWidth="1"/>
    <col min="8" max="8" width="8.08984375" customWidth="1"/>
    <col min="9" max="9" width="7.54296875" customWidth="1"/>
    <col min="10" max="10" width="7.453125" customWidth="1"/>
    <col min="11" max="11" width="9.453125" customWidth="1"/>
    <col min="12" max="12" width="8.90625" customWidth="1"/>
    <col min="13" max="13" width="10" customWidth="1"/>
    <col min="14" max="14" width="10.453125" customWidth="1"/>
    <col min="16" max="17" width="8.54296875" customWidth="1"/>
    <col min="18" max="18" width="12.54296875" customWidth="1"/>
  </cols>
  <sheetData>
    <row r="1" spans="1:23" ht="13.65" customHeight="1" x14ac:dyDescent="0.25">
      <c r="P1" s="22"/>
      <c r="Q1" s="165"/>
      <c r="R1" s="22"/>
      <c r="S1" s="22"/>
      <c r="T1" s="22"/>
    </row>
    <row r="2" spans="1:23" ht="13.65" customHeight="1" x14ac:dyDescent="0.25">
      <c r="P2" s="22"/>
      <c r="Q2" s="22"/>
      <c r="R2" s="22"/>
      <c r="S2" s="22"/>
      <c r="T2" s="22"/>
    </row>
    <row r="3" spans="1:23" ht="13.65" customHeight="1" x14ac:dyDescent="0.25">
      <c r="P3" s="22"/>
      <c r="Q3" s="22"/>
      <c r="R3" s="22"/>
      <c r="S3" s="22"/>
      <c r="T3" s="22"/>
    </row>
    <row r="4" spans="1:23" ht="13.65" customHeight="1" x14ac:dyDescent="0.25">
      <c r="P4" s="22"/>
      <c r="Q4" s="22"/>
      <c r="R4" s="22"/>
      <c r="S4" s="22"/>
      <c r="T4" s="22"/>
    </row>
    <row r="5" spans="1:23" ht="13.65" customHeight="1" x14ac:dyDescent="0.3">
      <c r="A5" s="122" t="s">
        <v>0</v>
      </c>
      <c r="B5" s="26" t="s">
        <v>1</v>
      </c>
      <c r="C5" s="26" t="s">
        <v>2</v>
      </c>
      <c r="D5" s="26" t="s">
        <v>3</v>
      </c>
      <c r="E5" s="26" t="s">
        <v>4</v>
      </c>
      <c r="F5" s="26" t="s">
        <v>5</v>
      </c>
      <c r="G5" s="75" t="s">
        <v>45</v>
      </c>
      <c r="H5" s="75" t="s">
        <v>46</v>
      </c>
      <c r="I5" s="75" t="s">
        <v>48</v>
      </c>
      <c r="J5" s="75" t="s">
        <v>47</v>
      </c>
      <c r="K5" s="75" t="s">
        <v>91</v>
      </c>
      <c r="L5" s="26" t="s">
        <v>6</v>
      </c>
      <c r="M5" s="117" t="s">
        <v>7</v>
      </c>
      <c r="N5" s="122" t="s">
        <v>8</v>
      </c>
      <c r="O5" s="26" t="s">
        <v>10</v>
      </c>
      <c r="P5" s="26" t="s">
        <v>1</v>
      </c>
      <c r="Q5" s="26" t="s">
        <v>9</v>
      </c>
      <c r="S5" s="101" t="s">
        <v>94</v>
      </c>
      <c r="T5" s="101" t="s">
        <v>95</v>
      </c>
      <c r="U5" s="102"/>
      <c r="V5" s="101" t="s">
        <v>87</v>
      </c>
      <c r="W5" s="101" t="s">
        <v>88</v>
      </c>
    </row>
    <row r="6" spans="1:23" ht="13.65" customHeight="1" x14ac:dyDescent="0.3">
      <c r="A6" t="s">
        <v>11</v>
      </c>
      <c r="B6" s="10">
        <v>1823</v>
      </c>
      <c r="C6" s="10">
        <v>639</v>
      </c>
      <c r="D6" s="10">
        <v>51</v>
      </c>
      <c r="E6" s="10">
        <v>0</v>
      </c>
      <c r="F6" s="10">
        <v>9</v>
      </c>
      <c r="G6" s="10">
        <v>2</v>
      </c>
      <c r="H6" s="10">
        <v>0</v>
      </c>
      <c r="I6" s="10">
        <v>0</v>
      </c>
      <c r="J6" s="10">
        <v>0</v>
      </c>
      <c r="K6" s="10">
        <v>31</v>
      </c>
      <c r="L6" s="10">
        <v>0</v>
      </c>
      <c r="M6" s="31">
        <v>0</v>
      </c>
      <c r="N6" s="10">
        <f t="shared" ref="N6:N7" si="0">SUM(C6:L6)</f>
        <v>732</v>
      </c>
      <c r="O6" s="10">
        <v>177</v>
      </c>
      <c r="P6" s="192">
        <v>0.20968812209688123</v>
      </c>
      <c r="Q6" s="193">
        <v>0.35055350553505538</v>
      </c>
      <c r="R6" s="22"/>
      <c r="S6" s="143">
        <v>316</v>
      </c>
      <c r="T6" s="143">
        <v>190</v>
      </c>
      <c r="V6" s="12">
        <v>1507</v>
      </c>
      <c r="W6" s="12">
        <v>542</v>
      </c>
    </row>
    <row r="7" spans="1:23" ht="13.65" customHeight="1" x14ac:dyDescent="0.3">
      <c r="A7" t="s">
        <v>12</v>
      </c>
      <c r="B7" s="10">
        <v>2585</v>
      </c>
      <c r="C7" s="10">
        <v>839</v>
      </c>
      <c r="D7" s="10">
        <v>37</v>
      </c>
      <c r="E7" s="10">
        <v>0</v>
      </c>
      <c r="F7" s="10">
        <v>14</v>
      </c>
      <c r="G7" s="10">
        <v>2</v>
      </c>
      <c r="H7" s="10">
        <v>3</v>
      </c>
      <c r="I7" s="14">
        <v>1</v>
      </c>
      <c r="J7" s="10">
        <v>1</v>
      </c>
      <c r="K7" s="10">
        <v>0</v>
      </c>
      <c r="L7" s="10">
        <v>9</v>
      </c>
      <c r="M7" s="31">
        <v>0</v>
      </c>
      <c r="N7" s="10">
        <f t="shared" si="0"/>
        <v>906</v>
      </c>
      <c r="O7" s="10">
        <v>634</v>
      </c>
      <c r="P7" s="192">
        <v>0.41102620087336245</v>
      </c>
      <c r="Q7" s="193">
        <v>0.29243937232524964</v>
      </c>
      <c r="R7" s="22"/>
      <c r="S7" s="143">
        <v>753</v>
      </c>
      <c r="T7" s="143">
        <v>205</v>
      </c>
      <c r="V7" s="12">
        <v>1832</v>
      </c>
      <c r="W7" s="12">
        <v>701</v>
      </c>
    </row>
    <row r="8" spans="1:23" ht="13.65" customHeight="1" x14ac:dyDescent="0.3">
      <c r="A8" t="s">
        <v>13</v>
      </c>
      <c r="B8" s="10">
        <v>2241</v>
      </c>
      <c r="C8" s="10">
        <v>760</v>
      </c>
      <c r="D8" s="10">
        <v>52</v>
      </c>
      <c r="E8" s="10">
        <v>1</v>
      </c>
      <c r="F8" s="10">
        <v>16</v>
      </c>
      <c r="G8" s="10">
        <v>0</v>
      </c>
      <c r="H8" s="10">
        <v>0</v>
      </c>
      <c r="I8" s="14">
        <v>0</v>
      </c>
      <c r="J8" s="10">
        <v>2</v>
      </c>
      <c r="K8" s="10">
        <v>32</v>
      </c>
      <c r="L8" s="10">
        <v>85</v>
      </c>
      <c r="M8" s="31">
        <v>0</v>
      </c>
      <c r="N8" s="10">
        <f t="shared" ref="N8:N17" si="1">SUM(C8:L8)</f>
        <v>948</v>
      </c>
      <c r="O8" s="10">
        <v>317</v>
      </c>
      <c r="P8" s="192">
        <v>-7.3584125671765185E-2</v>
      </c>
      <c r="Q8" s="193">
        <v>6.9977426636568849E-2</v>
      </c>
      <c r="R8" s="22"/>
      <c r="S8" s="143">
        <v>-178</v>
      </c>
      <c r="T8" s="143">
        <v>62</v>
      </c>
      <c r="V8" s="12">
        <v>2419</v>
      </c>
      <c r="W8" s="12">
        <v>886</v>
      </c>
    </row>
    <row r="9" spans="1:23" ht="13.65" customHeight="1" x14ac:dyDescent="0.3">
      <c r="A9" t="s">
        <v>14</v>
      </c>
      <c r="B9" s="10">
        <v>2460</v>
      </c>
      <c r="C9" s="10">
        <v>808</v>
      </c>
      <c r="D9" s="10">
        <v>66</v>
      </c>
      <c r="E9" s="10">
        <v>0</v>
      </c>
      <c r="F9" s="10">
        <v>19</v>
      </c>
      <c r="G9" s="69">
        <v>7</v>
      </c>
      <c r="H9" s="69">
        <v>0</v>
      </c>
      <c r="I9" s="14">
        <v>0</v>
      </c>
      <c r="J9" s="69">
        <v>4</v>
      </c>
      <c r="K9" s="69">
        <v>0</v>
      </c>
      <c r="L9" s="10">
        <v>5</v>
      </c>
      <c r="M9" s="31">
        <v>0</v>
      </c>
      <c r="N9" s="10">
        <f t="shared" si="1"/>
        <v>909</v>
      </c>
      <c r="O9" s="10">
        <v>208</v>
      </c>
      <c r="P9" s="192">
        <v>-3.3778476040848389E-2</v>
      </c>
      <c r="Q9" s="193">
        <v>8.8790233074361822E-3</v>
      </c>
      <c r="R9" s="22"/>
      <c r="S9" s="143">
        <v>-86</v>
      </c>
      <c r="T9" s="143">
        <v>8</v>
      </c>
      <c r="V9" s="12">
        <v>2546</v>
      </c>
      <c r="W9" s="12">
        <v>901</v>
      </c>
    </row>
    <row r="10" spans="1:23" ht="13.65" customHeight="1" x14ac:dyDescent="0.3">
      <c r="A10" t="s">
        <v>15</v>
      </c>
      <c r="B10" s="10">
        <v>4646</v>
      </c>
      <c r="C10" s="10">
        <v>1408</v>
      </c>
      <c r="D10" s="10">
        <v>51</v>
      </c>
      <c r="E10" s="10">
        <v>5</v>
      </c>
      <c r="F10" s="10">
        <v>12</v>
      </c>
      <c r="G10" s="69">
        <v>4</v>
      </c>
      <c r="H10" s="69">
        <v>25</v>
      </c>
      <c r="I10" s="14">
        <v>39</v>
      </c>
      <c r="J10" s="69">
        <v>38</v>
      </c>
      <c r="K10" s="69">
        <v>31</v>
      </c>
      <c r="L10" s="10">
        <v>9</v>
      </c>
      <c r="M10" s="31">
        <v>0</v>
      </c>
      <c r="N10" s="10">
        <f>SUM(C10:L10)</f>
        <v>1622</v>
      </c>
      <c r="O10" s="10">
        <v>469</v>
      </c>
      <c r="P10" s="192">
        <v>-2.9657477025898077E-2</v>
      </c>
      <c r="Q10" s="193">
        <v>7.4534161490683228E-3</v>
      </c>
      <c r="R10" s="22"/>
      <c r="S10" s="143">
        <v>-142</v>
      </c>
      <c r="T10" s="143">
        <v>12</v>
      </c>
      <c r="V10" s="12">
        <v>4788</v>
      </c>
      <c r="W10" s="12">
        <v>1610</v>
      </c>
    </row>
    <row r="11" spans="1:23" ht="13.65" customHeight="1" x14ac:dyDescent="0.3">
      <c r="A11" t="s">
        <v>16</v>
      </c>
      <c r="B11" s="10">
        <v>6534</v>
      </c>
      <c r="C11" s="10">
        <v>1620</v>
      </c>
      <c r="D11" s="10">
        <v>63</v>
      </c>
      <c r="E11" s="10">
        <v>13</v>
      </c>
      <c r="F11" s="10">
        <v>18</v>
      </c>
      <c r="G11" s="69">
        <v>10</v>
      </c>
      <c r="H11" s="69">
        <v>35</v>
      </c>
      <c r="I11" s="14">
        <v>307</v>
      </c>
      <c r="J11" s="69">
        <v>56</v>
      </c>
      <c r="K11" s="69">
        <v>0</v>
      </c>
      <c r="L11" s="10">
        <v>3</v>
      </c>
      <c r="M11" s="31">
        <v>0</v>
      </c>
      <c r="N11" s="10">
        <f t="shared" si="1"/>
        <v>2125</v>
      </c>
      <c r="O11" s="10">
        <v>583</v>
      </c>
      <c r="P11" s="192">
        <v>0.1766612641815235</v>
      </c>
      <c r="Q11" s="193">
        <v>9.423274974253347E-2</v>
      </c>
      <c r="R11" s="22"/>
      <c r="S11" s="143">
        <v>981</v>
      </c>
      <c r="T11" s="143">
        <v>183</v>
      </c>
      <c r="V11" s="12">
        <v>5553</v>
      </c>
      <c r="W11" s="12">
        <v>1942</v>
      </c>
    </row>
    <row r="12" spans="1:23" ht="13.65" customHeight="1" x14ac:dyDescent="0.3">
      <c r="A12" t="s">
        <v>17</v>
      </c>
      <c r="B12" s="10">
        <v>9415</v>
      </c>
      <c r="C12" s="10">
        <v>1994</v>
      </c>
      <c r="D12" s="10">
        <v>75</v>
      </c>
      <c r="E12" s="10">
        <v>12</v>
      </c>
      <c r="F12" s="10">
        <v>12</v>
      </c>
      <c r="G12" s="69">
        <v>14</v>
      </c>
      <c r="H12" s="69">
        <v>79</v>
      </c>
      <c r="I12" s="69">
        <v>570</v>
      </c>
      <c r="J12" s="69">
        <v>82</v>
      </c>
      <c r="K12" s="69">
        <v>93</v>
      </c>
      <c r="L12" s="10">
        <v>4</v>
      </c>
      <c r="M12" s="31">
        <v>7</v>
      </c>
      <c r="N12" s="10">
        <f t="shared" si="1"/>
        <v>2935</v>
      </c>
      <c r="O12" s="10">
        <v>884</v>
      </c>
      <c r="P12" s="192">
        <v>3.7122714254241025E-2</v>
      </c>
      <c r="Q12" s="193">
        <v>-7.0025348542458815E-2</v>
      </c>
      <c r="R12" s="22"/>
      <c r="S12" s="143">
        <v>337</v>
      </c>
      <c r="T12" s="143">
        <v>-221</v>
      </c>
      <c r="V12" s="12">
        <v>9078</v>
      </c>
      <c r="W12" s="12">
        <v>3156</v>
      </c>
    </row>
    <row r="13" spans="1:23" ht="13.65" customHeight="1" x14ac:dyDescent="0.3">
      <c r="A13" t="s">
        <v>18</v>
      </c>
      <c r="B13" s="10">
        <v>6442</v>
      </c>
      <c r="C13" s="10">
        <v>1598</v>
      </c>
      <c r="D13" s="10">
        <v>52</v>
      </c>
      <c r="E13" s="10">
        <v>8</v>
      </c>
      <c r="F13" s="10">
        <v>11</v>
      </c>
      <c r="G13" s="69">
        <v>9</v>
      </c>
      <c r="H13" s="69">
        <v>59</v>
      </c>
      <c r="I13" s="14">
        <v>306</v>
      </c>
      <c r="J13" s="69">
        <v>30</v>
      </c>
      <c r="K13" s="69">
        <v>0</v>
      </c>
      <c r="L13" s="10">
        <v>4</v>
      </c>
      <c r="M13" s="31">
        <v>0</v>
      </c>
      <c r="N13" s="10">
        <f t="shared" si="1"/>
        <v>2077</v>
      </c>
      <c r="O13" s="10">
        <v>630.70000000000005</v>
      </c>
      <c r="P13" s="192">
        <v>4.9921996879875195E-3</v>
      </c>
      <c r="Q13" s="193">
        <v>3.85E-2</v>
      </c>
      <c r="R13" s="22"/>
      <c r="S13" s="143">
        <v>32</v>
      </c>
      <c r="T13" s="143">
        <v>77</v>
      </c>
      <c r="V13" s="12">
        <v>6410</v>
      </c>
      <c r="W13" s="12">
        <v>2000</v>
      </c>
    </row>
    <row r="14" spans="1:23" ht="13.65" customHeight="1" x14ac:dyDescent="0.3">
      <c r="A14" t="s">
        <v>19</v>
      </c>
      <c r="B14" s="10">
        <v>3878</v>
      </c>
      <c r="C14" s="10">
        <v>1206</v>
      </c>
      <c r="D14" s="10">
        <v>31</v>
      </c>
      <c r="E14" s="10">
        <v>2</v>
      </c>
      <c r="F14" s="10">
        <v>17</v>
      </c>
      <c r="G14" s="69">
        <v>2</v>
      </c>
      <c r="H14" s="69">
        <v>26</v>
      </c>
      <c r="I14" s="14">
        <v>26</v>
      </c>
      <c r="J14" s="69">
        <v>12</v>
      </c>
      <c r="K14" s="69">
        <v>0</v>
      </c>
      <c r="L14" s="10">
        <v>2</v>
      </c>
      <c r="M14" s="31">
        <v>0</v>
      </c>
      <c r="N14" s="10">
        <f t="shared" si="1"/>
        <v>1324</v>
      </c>
      <c r="O14" s="10">
        <v>629</v>
      </c>
      <c r="P14" s="192">
        <v>-0.2960609911054638</v>
      </c>
      <c r="Q14" s="193">
        <v>-0.29122055674518199</v>
      </c>
      <c r="R14" s="22"/>
      <c r="S14" s="143">
        <v>-1631</v>
      </c>
      <c r="T14" s="143">
        <v>-544</v>
      </c>
      <c r="V14" s="12">
        <v>5509</v>
      </c>
      <c r="W14" s="12">
        <v>1868</v>
      </c>
    </row>
    <row r="15" spans="1:23" ht="13.65" customHeight="1" x14ac:dyDescent="0.3">
      <c r="A15" t="s">
        <v>20</v>
      </c>
      <c r="B15" s="10">
        <v>2875</v>
      </c>
      <c r="C15" s="10">
        <v>921</v>
      </c>
      <c r="D15" s="10">
        <v>48</v>
      </c>
      <c r="E15" s="10">
        <v>0</v>
      </c>
      <c r="F15" s="10">
        <v>15</v>
      </c>
      <c r="G15" s="69">
        <v>0</v>
      </c>
      <c r="H15" s="69">
        <v>2</v>
      </c>
      <c r="I15" s="14">
        <v>1</v>
      </c>
      <c r="J15" s="69">
        <v>0</v>
      </c>
      <c r="K15" s="69">
        <v>0</v>
      </c>
      <c r="L15" s="10">
        <v>1</v>
      </c>
      <c r="M15" s="31">
        <v>0</v>
      </c>
      <c r="N15" s="10">
        <f t="shared" si="1"/>
        <v>988</v>
      </c>
      <c r="O15" s="10">
        <v>238</v>
      </c>
      <c r="P15" s="192">
        <v>-6.927808352217546E-2</v>
      </c>
      <c r="Q15" s="193">
        <v>-0.13028169014084506</v>
      </c>
      <c r="R15" s="22"/>
      <c r="S15" s="143">
        <v>-214</v>
      </c>
      <c r="T15" s="143">
        <v>-148</v>
      </c>
      <c r="V15" s="12">
        <v>3089</v>
      </c>
      <c r="W15" s="12">
        <v>1136</v>
      </c>
    </row>
    <row r="16" spans="1:23" ht="13.65" customHeight="1" x14ac:dyDescent="0.3">
      <c r="A16" t="s">
        <v>21</v>
      </c>
      <c r="B16" s="10">
        <v>1926</v>
      </c>
      <c r="C16" s="10">
        <v>663</v>
      </c>
      <c r="D16" s="10">
        <v>50</v>
      </c>
      <c r="E16" s="10">
        <v>0</v>
      </c>
      <c r="F16" s="10">
        <v>10</v>
      </c>
      <c r="G16" s="69">
        <v>1</v>
      </c>
      <c r="H16" s="69">
        <v>0</v>
      </c>
      <c r="I16" s="69">
        <v>0</v>
      </c>
      <c r="J16" s="69">
        <v>0</v>
      </c>
      <c r="K16" s="69">
        <v>0</v>
      </c>
      <c r="L16" s="10">
        <v>6</v>
      </c>
      <c r="M16" s="31">
        <v>0</v>
      </c>
      <c r="N16" s="10">
        <f t="shared" si="1"/>
        <v>730</v>
      </c>
      <c r="O16" s="10">
        <v>203</v>
      </c>
      <c r="P16" s="192">
        <v>-9.2365692742695571E-2</v>
      </c>
      <c r="Q16" s="193">
        <v>-0.11084043848964677</v>
      </c>
      <c r="R16" s="22"/>
      <c r="S16" s="143">
        <v>-196</v>
      </c>
      <c r="T16" s="143">
        <v>-91</v>
      </c>
      <c r="V16" s="12">
        <v>2122</v>
      </c>
      <c r="W16" s="12">
        <v>821</v>
      </c>
    </row>
    <row r="17" spans="1:23" ht="13.65" customHeight="1" x14ac:dyDescent="0.3">
      <c r="A17" s="4" t="s">
        <v>22</v>
      </c>
      <c r="B17" s="11">
        <v>1917</v>
      </c>
      <c r="C17" s="11">
        <v>641</v>
      </c>
      <c r="D17" s="11">
        <v>38</v>
      </c>
      <c r="E17" s="11">
        <v>0</v>
      </c>
      <c r="F17" s="11">
        <v>10</v>
      </c>
      <c r="G17" s="15">
        <v>0</v>
      </c>
      <c r="H17" s="15">
        <v>2</v>
      </c>
      <c r="I17" s="15">
        <v>0</v>
      </c>
      <c r="J17" s="15">
        <v>0</v>
      </c>
      <c r="K17" s="15">
        <v>0</v>
      </c>
      <c r="L17" s="11">
        <v>3</v>
      </c>
      <c r="M17" s="30">
        <v>0</v>
      </c>
      <c r="N17" s="11">
        <f t="shared" si="1"/>
        <v>694</v>
      </c>
      <c r="O17" s="11">
        <v>172</v>
      </c>
      <c r="P17" s="194">
        <v>-8.5400763358778622E-2</v>
      </c>
      <c r="Q17" s="195">
        <v>-9.1623036649214659E-2</v>
      </c>
      <c r="R17" s="22"/>
      <c r="S17" s="169">
        <v>-179</v>
      </c>
      <c r="T17" s="169">
        <v>-70</v>
      </c>
      <c r="V17" s="20">
        <v>2096</v>
      </c>
      <c r="W17" s="20">
        <v>764</v>
      </c>
    </row>
    <row r="18" spans="1:23" ht="13.65" customHeight="1" x14ac:dyDescent="0.3">
      <c r="A18" s="3" t="s">
        <v>93</v>
      </c>
      <c r="B18" s="8">
        <f t="shared" ref="B18:O18" si="2">SUM(B6:B17)</f>
        <v>46742</v>
      </c>
      <c r="C18" s="8">
        <f t="shared" si="2"/>
        <v>13097</v>
      </c>
      <c r="D18" s="8">
        <f t="shared" si="2"/>
        <v>614</v>
      </c>
      <c r="E18" s="8">
        <f t="shared" si="2"/>
        <v>41</v>
      </c>
      <c r="F18" s="8">
        <f t="shared" si="2"/>
        <v>163</v>
      </c>
      <c r="G18" s="8">
        <f t="shared" si="2"/>
        <v>51</v>
      </c>
      <c r="H18" s="8">
        <f t="shared" si="2"/>
        <v>231</v>
      </c>
      <c r="I18" s="8">
        <f t="shared" si="2"/>
        <v>1250</v>
      </c>
      <c r="J18" s="8">
        <f t="shared" si="2"/>
        <v>225</v>
      </c>
      <c r="K18" s="8">
        <f t="shared" si="2"/>
        <v>187</v>
      </c>
      <c r="L18" s="8">
        <f t="shared" si="2"/>
        <v>131</v>
      </c>
      <c r="M18" s="31">
        <f t="shared" si="2"/>
        <v>7</v>
      </c>
      <c r="N18" s="8">
        <f t="shared" si="2"/>
        <v>15990</v>
      </c>
      <c r="O18" s="8">
        <f t="shared" si="2"/>
        <v>5144.7</v>
      </c>
      <c r="P18" s="196">
        <v>-4.4090395961575331E-3</v>
      </c>
      <c r="Q18" s="196">
        <v>-2.0640656581123292E-2</v>
      </c>
      <c r="R18" s="22"/>
      <c r="S18" s="143">
        <v>-207</v>
      </c>
      <c r="T18" s="143">
        <v>-337</v>
      </c>
      <c r="V18" s="12">
        <v>46949</v>
      </c>
      <c r="W18" s="12">
        <v>16327</v>
      </c>
    </row>
    <row r="19" spans="1:23" ht="13.65" customHeight="1" x14ac:dyDescent="0.3">
      <c r="A19" s="5" t="s">
        <v>86</v>
      </c>
      <c r="B19" s="9">
        <v>46949</v>
      </c>
      <c r="C19" s="9">
        <v>13430</v>
      </c>
      <c r="D19" s="9">
        <v>638</v>
      </c>
      <c r="E19" s="9">
        <v>37</v>
      </c>
      <c r="F19" s="9">
        <v>162</v>
      </c>
      <c r="G19" s="9">
        <v>44</v>
      </c>
      <c r="H19" s="9">
        <v>191</v>
      </c>
      <c r="I19" s="9">
        <v>1327</v>
      </c>
      <c r="J19" s="9">
        <v>244</v>
      </c>
      <c r="K19" s="9">
        <v>155</v>
      </c>
      <c r="L19" s="9">
        <v>99</v>
      </c>
      <c r="M19" s="9">
        <v>1</v>
      </c>
      <c r="N19" s="9">
        <v>16327</v>
      </c>
      <c r="O19" s="9">
        <v>10265</v>
      </c>
      <c r="P19" s="46"/>
      <c r="Q19" s="46"/>
      <c r="R19" s="22"/>
      <c r="S19" s="197"/>
      <c r="T19" s="197"/>
    </row>
    <row r="20" spans="1:23" ht="13.65" customHeight="1" x14ac:dyDescent="0.3">
      <c r="A20" s="5" t="s">
        <v>23</v>
      </c>
      <c r="B20" s="9">
        <f t="shared" ref="B20:O20" si="3">B18-B19</f>
        <v>-207</v>
      </c>
      <c r="C20" s="9">
        <f t="shared" si="3"/>
        <v>-333</v>
      </c>
      <c r="D20" s="9">
        <f t="shared" si="3"/>
        <v>-24</v>
      </c>
      <c r="E20" s="9">
        <f t="shared" si="3"/>
        <v>4</v>
      </c>
      <c r="F20" s="9">
        <f t="shared" si="3"/>
        <v>1</v>
      </c>
      <c r="G20" s="9">
        <f t="shared" si="3"/>
        <v>7</v>
      </c>
      <c r="H20" s="9">
        <f t="shared" si="3"/>
        <v>40</v>
      </c>
      <c r="I20" s="9">
        <f t="shared" si="3"/>
        <v>-77</v>
      </c>
      <c r="J20" s="9">
        <f t="shared" si="3"/>
        <v>-19</v>
      </c>
      <c r="K20" s="9">
        <f t="shared" si="3"/>
        <v>32</v>
      </c>
      <c r="L20" s="9">
        <f t="shared" si="3"/>
        <v>32</v>
      </c>
      <c r="M20" s="30">
        <f t="shared" si="3"/>
        <v>6</v>
      </c>
      <c r="N20" s="9">
        <f t="shared" si="3"/>
        <v>-337</v>
      </c>
      <c r="O20" s="9">
        <f t="shared" si="3"/>
        <v>-5120.3</v>
      </c>
      <c r="P20" s="19"/>
      <c r="Q20" s="19"/>
      <c r="R20" s="22"/>
      <c r="S20" s="197"/>
      <c r="T20" s="197"/>
    </row>
    <row r="21" spans="1:23" ht="13.65" customHeight="1" x14ac:dyDescent="0.25">
      <c r="P21" s="22"/>
      <c r="Q21" s="22"/>
      <c r="R21" s="22"/>
      <c r="S21" s="22"/>
      <c r="T21" s="22"/>
    </row>
    <row r="22" spans="1:23" ht="13.65" customHeight="1" x14ac:dyDescent="0.25">
      <c r="P22" s="22"/>
      <c r="Q22" s="22"/>
      <c r="R22" s="22"/>
      <c r="S22" s="22"/>
      <c r="T22" s="22"/>
    </row>
    <row r="23" spans="1:23" ht="13.65" customHeight="1" x14ac:dyDescent="0.25">
      <c r="P23" s="22"/>
      <c r="Q23" s="22"/>
      <c r="R23" s="22"/>
      <c r="S23" s="22"/>
      <c r="T23" s="22"/>
    </row>
    <row r="24" spans="1:23" ht="13.65" customHeight="1" x14ac:dyDescent="0.25">
      <c r="P24" s="22"/>
      <c r="Q24" s="22"/>
      <c r="R24" s="22"/>
      <c r="S24" s="22"/>
      <c r="T24" s="22"/>
    </row>
    <row r="25" spans="1:23" ht="13.65" customHeight="1" x14ac:dyDescent="0.25">
      <c r="P25" s="22"/>
      <c r="Q25" s="22"/>
      <c r="R25" s="22"/>
      <c r="S25" s="22"/>
      <c r="T25" s="22"/>
    </row>
    <row r="26" spans="1:23" ht="13.65" customHeight="1" x14ac:dyDescent="0.3">
      <c r="A26" s="1" t="s">
        <v>0</v>
      </c>
      <c r="B26" s="2" t="s">
        <v>1</v>
      </c>
      <c r="C26" s="2" t="s">
        <v>2</v>
      </c>
      <c r="D26" s="2" t="s">
        <v>3</v>
      </c>
      <c r="E26" s="2" t="s">
        <v>4</v>
      </c>
      <c r="F26" s="2" t="s">
        <v>5</v>
      </c>
      <c r="G26" s="67" t="s">
        <v>45</v>
      </c>
      <c r="H26" s="67" t="s">
        <v>46</v>
      </c>
      <c r="I26" s="67" t="s">
        <v>48</v>
      </c>
      <c r="J26" s="67" t="s">
        <v>47</v>
      </c>
      <c r="K26" s="75" t="s">
        <v>91</v>
      </c>
      <c r="L26" s="2" t="s">
        <v>6</v>
      </c>
      <c r="M26" s="33" t="s">
        <v>7</v>
      </c>
      <c r="N26" s="1" t="s">
        <v>8</v>
      </c>
      <c r="O26" s="2" t="s">
        <v>25</v>
      </c>
      <c r="P26" s="2" t="s">
        <v>1</v>
      </c>
      <c r="Q26" s="6" t="s">
        <v>9</v>
      </c>
      <c r="R26" s="22"/>
      <c r="S26" s="101" t="s">
        <v>94</v>
      </c>
      <c r="T26" s="101" t="s">
        <v>95</v>
      </c>
      <c r="U26" s="102"/>
      <c r="V26" s="101" t="s">
        <v>87</v>
      </c>
      <c r="W26" s="101" t="s">
        <v>88</v>
      </c>
    </row>
    <row r="27" spans="1:23" ht="13.65" customHeight="1" x14ac:dyDescent="0.3">
      <c r="A27" t="s">
        <v>11</v>
      </c>
      <c r="B27" s="10">
        <v>2379</v>
      </c>
      <c r="C27" s="10">
        <v>829</v>
      </c>
      <c r="D27" s="10">
        <v>109</v>
      </c>
      <c r="E27" s="10">
        <v>0</v>
      </c>
      <c r="F27" s="10">
        <v>17</v>
      </c>
      <c r="G27" s="10">
        <v>0</v>
      </c>
      <c r="H27" s="10">
        <v>0</v>
      </c>
      <c r="I27" s="10">
        <v>2</v>
      </c>
      <c r="J27" s="10">
        <v>0</v>
      </c>
      <c r="K27" s="10">
        <v>0</v>
      </c>
      <c r="L27" s="10">
        <v>1</v>
      </c>
      <c r="M27" s="31">
        <v>0</v>
      </c>
      <c r="N27" s="10">
        <f>SUM(C27:L27)</f>
        <v>958</v>
      </c>
      <c r="O27" s="10"/>
      <c r="P27" s="188">
        <v>8.531021897810219E-2</v>
      </c>
      <c r="Q27" s="179">
        <v>7.7615298087739037E-2</v>
      </c>
      <c r="R27" s="22"/>
      <c r="S27" s="143">
        <v>187</v>
      </c>
      <c r="T27" s="143">
        <v>69</v>
      </c>
      <c r="V27" s="107">
        <v>2192</v>
      </c>
      <c r="W27" s="107">
        <v>889</v>
      </c>
    </row>
    <row r="28" spans="1:23" ht="13.65" customHeight="1" x14ac:dyDescent="0.3">
      <c r="A28" t="s">
        <v>12</v>
      </c>
      <c r="B28" s="10">
        <v>2396</v>
      </c>
      <c r="C28" s="10">
        <v>839</v>
      </c>
      <c r="D28" s="10">
        <v>100</v>
      </c>
      <c r="E28" s="10">
        <v>0</v>
      </c>
      <c r="F28" s="10">
        <v>8</v>
      </c>
      <c r="G28" s="10">
        <v>0</v>
      </c>
      <c r="H28" s="10">
        <v>0</v>
      </c>
      <c r="I28" s="10">
        <v>1</v>
      </c>
      <c r="J28" s="10">
        <v>0</v>
      </c>
      <c r="K28" s="10">
        <v>0</v>
      </c>
      <c r="L28" s="10">
        <v>2</v>
      </c>
      <c r="M28" s="31">
        <v>0</v>
      </c>
      <c r="N28" s="10">
        <f t="shared" ref="N28:N38" si="4">SUM(C28:L28)</f>
        <v>950</v>
      </c>
      <c r="O28" s="10">
        <v>307</v>
      </c>
      <c r="P28" s="191">
        <v>0.10925925925925926</v>
      </c>
      <c r="Q28" s="181">
        <v>7.8320090805902381E-2</v>
      </c>
      <c r="R28" s="22"/>
      <c r="S28" s="143">
        <v>236</v>
      </c>
      <c r="T28" s="143">
        <v>69</v>
      </c>
      <c r="V28" s="107">
        <v>2160</v>
      </c>
      <c r="W28" s="107">
        <v>881</v>
      </c>
    </row>
    <row r="29" spans="1:23" ht="13.65" customHeight="1" x14ac:dyDescent="0.3">
      <c r="A29" t="s">
        <v>13</v>
      </c>
      <c r="B29" s="10">
        <v>2450</v>
      </c>
      <c r="C29" s="10">
        <v>851</v>
      </c>
      <c r="D29" s="10">
        <v>122</v>
      </c>
      <c r="E29" s="10">
        <v>1</v>
      </c>
      <c r="F29" s="10">
        <v>17</v>
      </c>
      <c r="G29" s="10">
        <v>0</v>
      </c>
      <c r="H29" s="10">
        <v>0</v>
      </c>
      <c r="I29" s="10">
        <v>1</v>
      </c>
      <c r="J29" s="10">
        <v>0</v>
      </c>
      <c r="K29" s="10">
        <v>155</v>
      </c>
      <c r="L29" s="10">
        <v>0</v>
      </c>
      <c r="M29" s="31">
        <v>4</v>
      </c>
      <c r="N29" s="10">
        <f t="shared" si="4"/>
        <v>1147</v>
      </c>
      <c r="O29" s="10">
        <v>362</v>
      </c>
      <c r="P29" s="191">
        <v>-0.10420475319926874</v>
      </c>
      <c r="Q29" s="181">
        <v>5.2585451358457495E-3</v>
      </c>
      <c r="R29" s="22"/>
      <c r="S29" s="143">
        <v>-285</v>
      </c>
      <c r="T29" s="143">
        <v>6</v>
      </c>
      <c r="V29" s="107">
        <v>2735</v>
      </c>
      <c r="W29" s="107">
        <v>1141</v>
      </c>
    </row>
    <row r="30" spans="1:23" ht="13.65" customHeight="1" x14ac:dyDescent="0.3">
      <c r="A30" t="s">
        <v>14</v>
      </c>
      <c r="B30" s="10">
        <v>3651</v>
      </c>
      <c r="C30" s="10">
        <v>1176</v>
      </c>
      <c r="D30" s="10">
        <v>105</v>
      </c>
      <c r="E30" s="10">
        <v>0</v>
      </c>
      <c r="F30" s="10">
        <v>45</v>
      </c>
      <c r="G30" s="69">
        <v>0</v>
      </c>
      <c r="H30" s="69">
        <v>0</v>
      </c>
      <c r="I30" s="69">
        <v>0</v>
      </c>
      <c r="J30" s="69">
        <v>0</v>
      </c>
      <c r="K30" s="69">
        <v>0</v>
      </c>
      <c r="L30" s="10">
        <v>2</v>
      </c>
      <c r="M30" s="31">
        <v>2</v>
      </c>
      <c r="N30" s="10">
        <f>SUM(C30:L30)</f>
        <v>1328</v>
      </c>
      <c r="O30" s="10">
        <v>833</v>
      </c>
      <c r="P30" s="191">
        <v>0.12442254388666461</v>
      </c>
      <c r="Q30" s="181">
        <v>2.2324865280985373E-2</v>
      </c>
      <c r="R30" s="22"/>
      <c r="S30" s="143">
        <v>404</v>
      </c>
      <c r="T30" s="143">
        <v>29</v>
      </c>
      <c r="V30" s="107">
        <v>3247</v>
      </c>
      <c r="W30" s="107">
        <v>1299</v>
      </c>
    </row>
    <row r="31" spans="1:23" ht="13.65" customHeight="1" x14ac:dyDescent="0.3">
      <c r="A31" t="s">
        <v>15</v>
      </c>
      <c r="B31" s="71">
        <v>3681</v>
      </c>
      <c r="C31" s="71">
        <v>1139</v>
      </c>
      <c r="D31" s="71">
        <v>137</v>
      </c>
      <c r="E31" s="71">
        <v>1</v>
      </c>
      <c r="F31" s="71">
        <v>17</v>
      </c>
      <c r="G31" s="85">
        <v>0</v>
      </c>
      <c r="H31" s="85">
        <v>3</v>
      </c>
      <c r="I31" s="85">
        <v>11</v>
      </c>
      <c r="J31" s="85">
        <v>7</v>
      </c>
      <c r="K31" s="85">
        <v>124</v>
      </c>
      <c r="L31" s="71">
        <v>1</v>
      </c>
      <c r="M31" s="31">
        <v>4</v>
      </c>
      <c r="N31" s="10">
        <f t="shared" si="4"/>
        <v>1440</v>
      </c>
      <c r="O31" s="10"/>
      <c r="P31" s="191">
        <v>-0.10720349260247393</v>
      </c>
      <c r="Q31" s="181">
        <v>-0.18228279386712096</v>
      </c>
      <c r="R31" s="22"/>
      <c r="S31" s="143">
        <v>-442</v>
      </c>
      <c r="T31" s="143">
        <v>-321</v>
      </c>
      <c r="V31" s="107">
        <v>4123</v>
      </c>
      <c r="W31" s="107">
        <v>1761</v>
      </c>
    </row>
    <row r="32" spans="1:23" ht="13.65" customHeight="1" x14ac:dyDescent="0.3">
      <c r="A32" t="s">
        <v>16</v>
      </c>
      <c r="B32" s="71">
        <v>4577</v>
      </c>
      <c r="C32" s="71">
        <v>1155</v>
      </c>
      <c r="D32" s="71">
        <v>103</v>
      </c>
      <c r="E32" s="71">
        <v>3</v>
      </c>
      <c r="F32" s="71">
        <v>14</v>
      </c>
      <c r="G32" s="85">
        <v>13</v>
      </c>
      <c r="H32" s="85">
        <v>33</v>
      </c>
      <c r="I32" s="85">
        <v>246</v>
      </c>
      <c r="J32" s="85">
        <v>46</v>
      </c>
      <c r="K32" s="85">
        <v>0</v>
      </c>
      <c r="L32" s="71">
        <v>1</v>
      </c>
      <c r="M32" s="31">
        <v>1</v>
      </c>
      <c r="N32" s="10">
        <f t="shared" si="4"/>
        <v>1614</v>
      </c>
      <c r="O32" s="102">
        <v>623</v>
      </c>
      <c r="P32" s="191">
        <v>-5.6288659793814436E-2</v>
      </c>
      <c r="Q32" s="181">
        <v>-1.824817518248175E-2</v>
      </c>
      <c r="R32" s="22"/>
      <c r="S32" s="143">
        <v>-273</v>
      </c>
      <c r="T32" s="143">
        <v>-30</v>
      </c>
      <c r="V32" s="107">
        <v>4850</v>
      </c>
      <c r="W32" s="107">
        <v>1644</v>
      </c>
    </row>
    <row r="33" spans="1:23" ht="13.65" customHeight="1" x14ac:dyDescent="0.3">
      <c r="A33" t="s">
        <v>17</v>
      </c>
      <c r="B33" s="10">
        <v>7539</v>
      </c>
      <c r="C33" s="10">
        <v>1268</v>
      </c>
      <c r="D33" s="10">
        <v>19</v>
      </c>
      <c r="E33" s="10">
        <v>24</v>
      </c>
      <c r="F33" s="10">
        <v>1</v>
      </c>
      <c r="G33" s="69">
        <v>22</v>
      </c>
      <c r="H33" s="69">
        <v>110</v>
      </c>
      <c r="I33" s="69">
        <v>872</v>
      </c>
      <c r="J33" s="69">
        <v>124</v>
      </c>
      <c r="K33" s="69">
        <v>0</v>
      </c>
      <c r="L33" s="10">
        <v>0</v>
      </c>
      <c r="M33" s="31">
        <v>3</v>
      </c>
      <c r="N33" s="10">
        <f t="shared" si="4"/>
        <v>2440</v>
      </c>
      <c r="O33" s="10">
        <v>879</v>
      </c>
      <c r="P33" s="191">
        <v>1.2898024989923419E-2</v>
      </c>
      <c r="Q33" s="181">
        <v>-6.4058304564633683E-2</v>
      </c>
      <c r="R33" s="22"/>
      <c r="S33" s="143">
        <v>96</v>
      </c>
      <c r="T33" s="143">
        <v>-167</v>
      </c>
      <c r="V33" s="107">
        <v>7443</v>
      </c>
      <c r="W33" s="107">
        <v>2607</v>
      </c>
    </row>
    <row r="34" spans="1:23" ht="13.65" customHeight="1" x14ac:dyDescent="0.3">
      <c r="A34" t="s">
        <v>18</v>
      </c>
      <c r="B34" s="10">
        <v>5314</v>
      </c>
      <c r="C34" s="10">
        <v>1173</v>
      </c>
      <c r="D34" s="10">
        <v>85</v>
      </c>
      <c r="E34" s="10">
        <v>15</v>
      </c>
      <c r="F34" s="10">
        <v>17</v>
      </c>
      <c r="G34" s="69">
        <v>10</v>
      </c>
      <c r="H34" s="69">
        <v>49</v>
      </c>
      <c r="I34" s="69">
        <v>396</v>
      </c>
      <c r="J34" s="69">
        <v>60</v>
      </c>
      <c r="K34" s="69">
        <v>155</v>
      </c>
      <c r="L34" s="10">
        <v>0</v>
      </c>
      <c r="M34" s="31">
        <v>8</v>
      </c>
      <c r="N34" s="10">
        <f t="shared" si="4"/>
        <v>1960</v>
      </c>
      <c r="O34" s="10">
        <v>827</v>
      </c>
      <c r="P34" s="191">
        <v>9.5670103092783509E-2</v>
      </c>
      <c r="Q34" s="181">
        <v>5.3763440860215055E-2</v>
      </c>
      <c r="R34" s="22"/>
      <c r="S34" s="143">
        <v>464</v>
      </c>
      <c r="T34" s="143">
        <v>100</v>
      </c>
      <c r="V34" s="107">
        <v>4850</v>
      </c>
      <c r="W34" s="107">
        <v>1860</v>
      </c>
    </row>
    <row r="35" spans="1:23" ht="13.65" customHeight="1" x14ac:dyDescent="0.3">
      <c r="A35" t="s">
        <v>19</v>
      </c>
      <c r="B35" s="10">
        <v>3534</v>
      </c>
      <c r="C35" s="10">
        <v>1168</v>
      </c>
      <c r="D35" s="10">
        <v>127</v>
      </c>
      <c r="E35" s="10">
        <v>0</v>
      </c>
      <c r="F35" s="10">
        <v>30</v>
      </c>
      <c r="G35" s="69">
        <v>1</v>
      </c>
      <c r="H35" s="69">
        <v>8</v>
      </c>
      <c r="I35" s="69">
        <v>12</v>
      </c>
      <c r="J35" s="69">
        <v>8</v>
      </c>
      <c r="K35" s="69">
        <v>0</v>
      </c>
      <c r="L35" s="10">
        <v>2</v>
      </c>
      <c r="M35" s="31">
        <v>6</v>
      </c>
      <c r="N35" s="10">
        <f t="shared" si="4"/>
        <v>1356</v>
      </c>
      <c r="O35" s="10">
        <v>665</v>
      </c>
      <c r="P35" s="191">
        <v>-3.6269430051813469E-2</v>
      </c>
      <c r="Q35" s="181">
        <v>-5.1084674597620713E-2</v>
      </c>
      <c r="R35" s="22"/>
      <c r="S35" s="143">
        <v>-133</v>
      </c>
      <c r="T35" s="143">
        <v>-73</v>
      </c>
      <c r="V35" s="107">
        <v>3667</v>
      </c>
      <c r="W35" s="107">
        <v>1429</v>
      </c>
    </row>
    <row r="36" spans="1:23" ht="13.65" customHeight="1" x14ac:dyDescent="0.3">
      <c r="A36" t="s">
        <v>20</v>
      </c>
      <c r="B36" s="10">
        <v>3149</v>
      </c>
      <c r="C36" s="10">
        <v>1052</v>
      </c>
      <c r="D36" s="10">
        <v>122</v>
      </c>
      <c r="E36" s="10">
        <v>0</v>
      </c>
      <c r="F36" s="10">
        <v>20</v>
      </c>
      <c r="G36" s="69">
        <v>1</v>
      </c>
      <c r="H36" s="69">
        <v>2</v>
      </c>
      <c r="I36" s="69">
        <v>0</v>
      </c>
      <c r="J36" s="69">
        <v>0</v>
      </c>
      <c r="K36" s="69">
        <v>93</v>
      </c>
      <c r="L36" s="10">
        <v>3</v>
      </c>
      <c r="M36" s="31">
        <v>6</v>
      </c>
      <c r="N36" s="10">
        <f t="shared" si="4"/>
        <v>1293</v>
      </c>
      <c r="O36" s="10">
        <v>602</v>
      </c>
      <c r="P36" s="191">
        <v>-0.12649098474341192</v>
      </c>
      <c r="Q36" s="181">
        <v>-0.18422712933753943</v>
      </c>
      <c r="R36" s="22"/>
      <c r="S36" s="143">
        <v>-456</v>
      </c>
      <c r="T36" s="143">
        <v>-292</v>
      </c>
      <c r="V36" s="107">
        <v>3605</v>
      </c>
      <c r="W36" s="107">
        <v>1585</v>
      </c>
    </row>
    <row r="37" spans="1:23" ht="13.65" customHeight="1" x14ac:dyDescent="0.3">
      <c r="A37" t="s">
        <v>21</v>
      </c>
      <c r="B37" s="10">
        <v>2729</v>
      </c>
      <c r="C37" s="10">
        <v>925</v>
      </c>
      <c r="D37" s="10">
        <v>121</v>
      </c>
      <c r="E37" s="10">
        <v>0</v>
      </c>
      <c r="F37" s="10">
        <v>10</v>
      </c>
      <c r="G37" s="69">
        <v>0</v>
      </c>
      <c r="H37" s="69">
        <v>3</v>
      </c>
      <c r="I37" s="69">
        <v>0</v>
      </c>
      <c r="J37" s="69">
        <v>0</v>
      </c>
      <c r="K37" s="69">
        <v>0</v>
      </c>
      <c r="L37" s="10">
        <v>0</v>
      </c>
      <c r="M37" s="31">
        <v>0</v>
      </c>
      <c r="N37" s="10">
        <f t="shared" si="4"/>
        <v>1059</v>
      </c>
      <c r="O37" s="10">
        <v>403</v>
      </c>
      <c r="P37" s="191">
        <v>-2.9516358463726886E-2</v>
      </c>
      <c r="Q37" s="181">
        <v>-6.2001771479185119E-2</v>
      </c>
      <c r="R37" s="22"/>
      <c r="S37" s="143">
        <v>-83</v>
      </c>
      <c r="T37" s="143">
        <v>-70</v>
      </c>
      <c r="V37" s="107">
        <v>2812</v>
      </c>
      <c r="W37" s="107">
        <v>1129</v>
      </c>
    </row>
    <row r="38" spans="1:23" ht="13.65" customHeight="1" x14ac:dyDescent="0.3">
      <c r="A38" s="4" t="s">
        <v>22</v>
      </c>
      <c r="B38" s="11">
        <v>2785</v>
      </c>
      <c r="C38" s="11">
        <v>924</v>
      </c>
      <c r="D38" s="11">
        <v>94</v>
      </c>
      <c r="E38" s="11">
        <v>2</v>
      </c>
      <c r="F38" s="11">
        <v>18</v>
      </c>
      <c r="G38" s="15">
        <v>0</v>
      </c>
      <c r="H38" s="15">
        <v>0</v>
      </c>
      <c r="I38" s="15">
        <v>0</v>
      </c>
      <c r="J38" s="15">
        <v>0</v>
      </c>
      <c r="K38" s="15">
        <v>0</v>
      </c>
      <c r="L38" s="11">
        <v>0</v>
      </c>
      <c r="M38" s="30">
        <v>0</v>
      </c>
      <c r="N38" s="11">
        <f t="shared" si="4"/>
        <v>1038</v>
      </c>
      <c r="O38" s="11">
        <v>415</v>
      </c>
      <c r="P38" s="189">
        <v>0.32872137404580154</v>
      </c>
      <c r="Q38" s="184">
        <v>0.3586387434554974</v>
      </c>
      <c r="R38" s="22"/>
      <c r="S38" s="169">
        <v>689</v>
      </c>
      <c r="T38" s="169">
        <v>274</v>
      </c>
      <c r="V38" s="108">
        <v>2096</v>
      </c>
      <c r="W38" s="108">
        <v>764</v>
      </c>
    </row>
    <row r="39" spans="1:23" ht="13.65" customHeight="1" x14ac:dyDescent="0.3">
      <c r="A39" s="3" t="s">
        <v>86</v>
      </c>
      <c r="B39" s="8">
        <f t="shared" ref="B39:O39" si="5">SUM(B27:B38)</f>
        <v>44184</v>
      </c>
      <c r="C39" s="8">
        <f t="shared" si="5"/>
        <v>12499</v>
      </c>
      <c r="D39" s="8">
        <f t="shared" si="5"/>
        <v>1244</v>
      </c>
      <c r="E39" s="8">
        <f t="shared" si="5"/>
        <v>46</v>
      </c>
      <c r="F39" s="8">
        <f t="shared" si="5"/>
        <v>214</v>
      </c>
      <c r="G39" s="61">
        <f t="shared" si="5"/>
        <v>47</v>
      </c>
      <c r="H39" s="61">
        <f t="shared" si="5"/>
        <v>208</v>
      </c>
      <c r="I39" s="61">
        <f t="shared" si="5"/>
        <v>1541</v>
      </c>
      <c r="J39" s="61">
        <f t="shared" si="5"/>
        <v>245</v>
      </c>
      <c r="K39" s="61">
        <f t="shared" si="5"/>
        <v>527</v>
      </c>
      <c r="L39" s="8">
        <f t="shared" si="5"/>
        <v>12</v>
      </c>
      <c r="M39" s="31">
        <f t="shared" si="5"/>
        <v>34</v>
      </c>
      <c r="N39" s="8">
        <f t="shared" si="5"/>
        <v>16583</v>
      </c>
      <c r="O39" s="8">
        <f t="shared" si="5"/>
        <v>5916</v>
      </c>
      <c r="P39" s="191">
        <v>9.227957971676564E-3</v>
      </c>
      <c r="Q39" s="191">
        <v>-2.3897816234033788E-2</v>
      </c>
      <c r="R39" s="22"/>
      <c r="S39" s="143">
        <v>404</v>
      </c>
      <c r="T39" s="143">
        <v>-406</v>
      </c>
      <c r="V39" s="12">
        <v>43780</v>
      </c>
      <c r="W39" s="12">
        <v>16989</v>
      </c>
    </row>
    <row r="40" spans="1:23" ht="13.65" customHeight="1" x14ac:dyDescent="0.3">
      <c r="A40" s="5" t="s">
        <v>83</v>
      </c>
      <c r="B40" s="9">
        <v>43780</v>
      </c>
      <c r="C40" s="9">
        <v>12684</v>
      </c>
      <c r="D40" s="9">
        <v>1312</v>
      </c>
      <c r="E40" s="9">
        <v>35</v>
      </c>
      <c r="F40" s="9">
        <v>191</v>
      </c>
      <c r="G40" s="9">
        <v>61</v>
      </c>
      <c r="H40" s="9">
        <v>229</v>
      </c>
      <c r="I40" s="9">
        <v>1294</v>
      </c>
      <c r="J40" s="9">
        <v>306</v>
      </c>
      <c r="K40" s="9">
        <v>837</v>
      </c>
      <c r="L40" s="9">
        <v>40</v>
      </c>
      <c r="M40" s="9">
        <v>37</v>
      </c>
      <c r="N40" s="9">
        <v>16989</v>
      </c>
      <c r="O40" s="9">
        <v>21159</v>
      </c>
      <c r="P40" s="47"/>
      <c r="Q40" s="47"/>
      <c r="R40" s="22"/>
      <c r="S40" s="197"/>
      <c r="T40" s="197"/>
    </row>
    <row r="41" spans="1:23" ht="13.65" customHeight="1" x14ac:dyDescent="0.3">
      <c r="A41" s="5" t="s">
        <v>23</v>
      </c>
      <c r="B41" s="9">
        <f t="shared" ref="B41:K41" si="6">B39-B40</f>
        <v>404</v>
      </c>
      <c r="C41" s="9">
        <f t="shared" si="6"/>
        <v>-185</v>
      </c>
      <c r="D41" s="9">
        <f t="shared" si="6"/>
        <v>-68</v>
      </c>
      <c r="E41" s="9">
        <f t="shared" si="6"/>
        <v>11</v>
      </c>
      <c r="F41" s="9">
        <f t="shared" si="6"/>
        <v>23</v>
      </c>
      <c r="G41" s="9">
        <f t="shared" si="6"/>
        <v>-14</v>
      </c>
      <c r="H41" s="9">
        <f t="shared" si="6"/>
        <v>-21</v>
      </c>
      <c r="I41" s="9">
        <f t="shared" si="6"/>
        <v>247</v>
      </c>
      <c r="J41" s="9">
        <f t="shared" si="6"/>
        <v>-61</v>
      </c>
      <c r="K41" s="9">
        <f t="shared" si="6"/>
        <v>-310</v>
      </c>
      <c r="L41" s="9">
        <f>L39-L40</f>
        <v>-28</v>
      </c>
      <c r="M41" s="30">
        <f t="shared" ref="M41:O41" si="7">M39-M40</f>
        <v>-3</v>
      </c>
      <c r="N41" s="9">
        <f t="shared" si="7"/>
        <v>-406</v>
      </c>
      <c r="O41" s="9">
        <f t="shared" si="7"/>
        <v>-15243</v>
      </c>
      <c r="P41" s="19"/>
      <c r="Q41" s="19"/>
      <c r="R41" s="22"/>
      <c r="S41" s="197"/>
      <c r="T41" s="197"/>
    </row>
    <row r="42" spans="1:23" ht="13.65" customHeight="1" x14ac:dyDescent="0.25">
      <c r="P42" s="22"/>
      <c r="Q42" s="22"/>
      <c r="R42" s="22"/>
      <c r="S42" s="22"/>
      <c r="T42" s="22"/>
    </row>
    <row r="43" spans="1:23" ht="13.65" customHeight="1" x14ac:dyDescent="0.25">
      <c r="P43" s="22"/>
      <c r="Q43" s="22"/>
      <c r="R43" s="22"/>
      <c r="S43" s="22"/>
      <c r="T43" s="22"/>
    </row>
    <row r="44" spans="1:23" ht="13.65" customHeight="1" x14ac:dyDescent="0.25">
      <c r="P44" s="22"/>
      <c r="Q44" s="22"/>
      <c r="R44" s="22"/>
      <c r="S44" s="22"/>
      <c r="T44" s="22"/>
    </row>
    <row r="45" spans="1:23" ht="13.65" customHeight="1" x14ac:dyDescent="0.25">
      <c r="P45" s="22"/>
      <c r="Q45" s="22"/>
      <c r="R45" s="22"/>
      <c r="S45" s="22"/>
      <c r="T45" s="22"/>
    </row>
    <row r="46" spans="1:23" ht="13.65" customHeight="1" x14ac:dyDescent="0.25">
      <c r="P46" s="22"/>
      <c r="Q46" s="22"/>
      <c r="R46" s="22"/>
      <c r="S46" s="22"/>
      <c r="T46" s="22"/>
    </row>
    <row r="47" spans="1:23" ht="13.65" customHeight="1" x14ac:dyDescent="0.3">
      <c r="A47" s="1" t="s">
        <v>0</v>
      </c>
      <c r="B47" s="2" t="s">
        <v>1</v>
      </c>
      <c r="C47" s="2" t="s">
        <v>2</v>
      </c>
      <c r="D47" s="2" t="s">
        <v>3</v>
      </c>
      <c r="E47" s="2" t="s">
        <v>4</v>
      </c>
      <c r="F47" s="96" t="s">
        <v>5</v>
      </c>
      <c r="G47" s="96" t="s">
        <v>45</v>
      </c>
      <c r="H47" s="123" t="s">
        <v>46</v>
      </c>
      <c r="I47" s="124" t="s">
        <v>48</v>
      </c>
      <c r="J47" s="2" t="s">
        <v>47</v>
      </c>
      <c r="K47" s="75" t="s">
        <v>91</v>
      </c>
      <c r="L47" s="2" t="s">
        <v>6</v>
      </c>
      <c r="M47" s="33" t="s">
        <v>7</v>
      </c>
      <c r="N47" s="1" t="s">
        <v>8</v>
      </c>
      <c r="O47" s="2" t="s">
        <v>10</v>
      </c>
      <c r="P47" s="2" t="s">
        <v>1</v>
      </c>
      <c r="Q47" s="6" t="s">
        <v>9</v>
      </c>
      <c r="R47" s="22"/>
      <c r="S47" s="101" t="s">
        <v>94</v>
      </c>
      <c r="T47" s="101" t="s">
        <v>95</v>
      </c>
      <c r="U47" s="102"/>
      <c r="V47" s="101" t="s">
        <v>87</v>
      </c>
      <c r="W47" s="101" t="s">
        <v>88</v>
      </c>
    </row>
    <row r="48" spans="1:23" ht="13.65" customHeight="1" x14ac:dyDescent="0.25">
      <c r="A48" t="s">
        <v>11</v>
      </c>
      <c r="B48" s="10"/>
      <c r="C48" s="10"/>
      <c r="D48" s="10"/>
      <c r="E48" s="10"/>
      <c r="F48" s="10"/>
      <c r="G48" s="10"/>
      <c r="H48" s="10"/>
      <c r="I48" s="10"/>
      <c r="J48" s="10"/>
      <c r="K48" s="10"/>
      <c r="L48" s="10"/>
      <c r="M48" s="10"/>
      <c r="N48" s="10">
        <v>0</v>
      </c>
      <c r="O48" s="10"/>
      <c r="P48" s="188"/>
      <c r="Q48" s="179"/>
      <c r="R48" s="22"/>
      <c r="S48" s="143"/>
      <c r="T48" s="143"/>
    </row>
    <row r="49" spans="1:23" ht="13.65" customHeight="1" x14ac:dyDescent="0.25">
      <c r="A49" t="s">
        <v>12</v>
      </c>
      <c r="B49" s="10"/>
      <c r="C49" s="10"/>
      <c r="D49" s="10"/>
      <c r="E49" s="10"/>
      <c r="F49" s="10"/>
      <c r="G49" s="10"/>
      <c r="H49" s="10"/>
      <c r="I49" s="10"/>
      <c r="J49" s="10"/>
      <c r="K49" s="10"/>
      <c r="L49" s="10"/>
      <c r="M49" s="10"/>
      <c r="N49" s="10">
        <f>SUM(C49:L49)</f>
        <v>0</v>
      </c>
      <c r="O49" s="10"/>
      <c r="P49" s="188"/>
      <c r="Q49" s="181"/>
      <c r="R49" s="22"/>
      <c r="S49" s="143"/>
      <c r="T49" s="143"/>
    </row>
    <row r="50" spans="1:23" ht="13.65" customHeight="1" x14ac:dyDescent="0.25">
      <c r="A50" t="s">
        <v>13</v>
      </c>
      <c r="B50" s="10"/>
      <c r="C50" s="10"/>
      <c r="D50" s="10"/>
      <c r="E50" s="10"/>
      <c r="F50" s="10"/>
      <c r="G50" s="10"/>
      <c r="H50" s="10"/>
      <c r="I50" s="10"/>
      <c r="J50" s="10"/>
      <c r="K50" s="10"/>
      <c r="L50" s="10"/>
      <c r="M50" s="10"/>
      <c r="N50" s="10">
        <v>0</v>
      </c>
      <c r="O50" s="10"/>
      <c r="P50" s="188"/>
      <c r="Q50" s="181"/>
      <c r="R50" s="22"/>
      <c r="S50" s="143"/>
      <c r="T50" s="143"/>
    </row>
    <row r="51" spans="1:23" ht="13.65" customHeight="1" x14ac:dyDescent="0.25">
      <c r="A51" t="s">
        <v>14</v>
      </c>
      <c r="B51" s="10"/>
      <c r="C51" s="10"/>
      <c r="D51" s="10"/>
      <c r="E51" s="10"/>
      <c r="F51" s="10"/>
      <c r="G51" s="10"/>
      <c r="H51" s="10"/>
      <c r="I51" s="10"/>
      <c r="J51" s="10"/>
      <c r="K51" s="10"/>
      <c r="L51" s="10"/>
      <c r="M51" s="10"/>
      <c r="N51" s="10">
        <v>0</v>
      </c>
      <c r="O51" s="10"/>
      <c r="P51" s="188"/>
      <c r="Q51" s="181"/>
      <c r="R51" s="22"/>
      <c r="S51" s="143"/>
      <c r="T51" s="143"/>
    </row>
    <row r="52" spans="1:23" ht="13.65" customHeight="1" x14ac:dyDescent="0.3">
      <c r="A52" t="s">
        <v>15</v>
      </c>
      <c r="B52" s="10"/>
      <c r="C52" s="10"/>
      <c r="D52" s="10"/>
      <c r="E52" s="10"/>
      <c r="F52" s="10"/>
      <c r="G52" s="10"/>
      <c r="H52" s="10"/>
      <c r="I52" s="10"/>
      <c r="J52" s="10"/>
      <c r="K52" s="10"/>
      <c r="L52" s="10"/>
      <c r="M52" s="31"/>
      <c r="N52" s="10">
        <f>SUM(C52:L52)</f>
        <v>0</v>
      </c>
      <c r="O52" s="10"/>
      <c r="P52" s="188"/>
      <c r="Q52" s="181"/>
      <c r="R52" s="22"/>
      <c r="S52" s="143"/>
      <c r="T52" s="143"/>
    </row>
    <row r="53" spans="1:23" ht="13.65" customHeight="1" x14ac:dyDescent="0.25">
      <c r="A53" t="s">
        <v>16</v>
      </c>
      <c r="B53">
        <v>1834</v>
      </c>
      <c r="C53">
        <v>443</v>
      </c>
      <c r="D53">
        <v>30</v>
      </c>
      <c r="E53">
        <v>0</v>
      </c>
      <c r="F53">
        <v>12.5</v>
      </c>
      <c r="G53">
        <v>0</v>
      </c>
      <c r="H53">
        <v>13</v>
      </c>
      <c r="I53">
        <v>96</v>
      </c>
      <c r="J53">
        <v>21</v>
      </c>
      <c r="K53">
        <v>0</v>
      </c>
      <c r="L53">
        <v>27</v>
      </c>
      <c r="M53" s="102">
        <v>0</v>
      </c>
      <c r="N53" s="10">
        <f>SUM(C53:L53)</f>
        <v>642.5</v>
      </c>
      <c r="O53" s="10">
        <v>104</v>
      </c>
      <c r="P53" s="188">
        <v>0.39467680608365019</v>
      </c>
      <c r="Q53" s="181">
        <v>0.49766899766899769</v>
      </c>
      <c r="R53" s="22"/>
      <c r="S53" s="143">
        <v>519</v>
      </c>
      <c r="T53" s="143">
        <v>213.5</v>
      </c>
      <c r="V53" s="12">
        <v>1315</v>
      </c>
      <c r="W53" s="12">
        <v>429</v>
      </c>
    </row>
    <row r="54" spans="1:23" ht="13.65" customHeight="1" x14ac:dyDescent="0.25">
      <c r="A54" t="s">
        <v>17</v>
      </c>
      <c r="B54">
        <v>5680</v>
      </c>
      <c r="C54">
        <v>1219</v>
      </c>
      <c r="D54">
        <v>56</v>
      </c>
      <c r="E54">
        <v>6</v>
      </c>
      <c r="F54">
        <v>7</v>
      </c>
      <c r="G54">
        <v>6</v>
      </c>
      <c r="H54">
        <v>47</v>
      </c>
      <c r="I54">
        <v>592</v>
      </c>
      <c r="J54">
        <v>55</v>
      </c>
      <c r="K54">
        <v>0</v>
      </c>
      <c r="L54">
        <v>48</v>
      </c>
      <c r="M54" s="102">
        <v>1</v>
      </c>
      <c r="N54" s="10">
        <f>SUM(C54:L54)</f>
        <v>2036</v>
      </c>
      <c r="O54" s="10">
        <v>350.5</v>
      </c>
      <c r="P54" s="188">
        <v>-4.3126684636118601E-2</v>
      </c>
      <c r="Q54" s="181">
        <v>-0.10229276895943562</v>
      </c>
      <c r="R54" s="22"/>
      <c r="S54" s="143">
        <v>-256</v>
      </c>
      <c r="T54" s="143">
        <v>-232</v>
      </c>
      <c r="V54" s="12">
        <v>5936</v>
      </c>
      <c r="W54" s="12">
        <v>2268</v>
      </c>
    </row>
    <row r="55" spans="1:23" ht="13.65" customHeight="1" x14ac:dyDescent="0.25">
      <c r="A55" t="s">
        <v>18</v>
      </c>
      <c r="B55">
        <v>2408</v>
      </c>
      <c r="C55">
        <v>460</v>
      </c>
      <c r="D55">
        <v>21</v>
      </c>
      <c r="E55">
        <v>8</v>
      </c>
      <c r="F55">
        <v>9</v>
      </c>
      <c r="G55">
        <v>2</v>
      </c>
      <c r="H55">
        <v>4</v>
      </c>
      <c r="I55">
        <v>229</v>
      </c>
      <c r="J55">
        <v>35</v>
      </c>
      <c r="K55">
        <v>0</v>
      </c>
      <c r="L55">
        <v>29</v>
      </c>
      <c r="M55" s="102">
        <v>0</v>
      </c>
      <c r="N55" s="10">
        <f>SUM(C55:L55)</f>
        <v>797</v>
      </c>
      <c r="O55" s="10">
        <v>311</v>
      </c>
      <c r="P55" s="188">
        <v>-9.5416979714500375E-2</v>
      </c>
      <c r="Q55" s="181">
        <v>-0.10949720670391061</v>
      </c>
      <c r="R55" s="22"/>
      <c r="S55" s="143">
        <v>-254</v>
      </c>
      <c r="T55" s="143">
        <v>-98</v>
      </c>
      <c r="V55" s="12">
        <v>2662</v>
      </c>
      <c r="W55" s="12">
        <v>895</v>
      </c>
    </row>
    <row r="56" spans="1:23" ht="13.65" customHeight="1" x14ac:dyDescent="0.3">
      <c r="A56" t="s">
        <v>19</v>
      </c>
      <c r="B56" s="10"/>
      <c r="C56" s="10"/>
      <c r="D56" s="10"/>
      <c r="E56" s="10"/>
      <c r="F56" s="10"/>
      <c r="G56" s="10"/>
      <c r="H56" s="10"/>
      <c r="I56" s="10"/>
      <c r="J56" s="10"/>
      <c r="K56" s="10"/>
      <c r="L56" s="10"/>
      <c r="M56" s="31"/>
      <c r="N56" s="62">
        <f>SUM(C56:L56)</f>
        <v>0</v>
      </c>
      <c r="O56" s="10"/>
      <c r="P56" s="188"/>
      <c r="Q56" s="181"/>
      <c r="R56" s="22"/>
      <c r="S56" s="143"/>
      <c r="T56" s="143"/>
    </row>
    <row r="57" spans="1:23" ht="13.65" customHeight="1" x14ac:dyDescent="0.3">
      <c r="A57" t="s">
        <v>20</v>
      </c>
      <c r="B57" s="10"/>
      <c r="C57" s="10"/>
      <c r="D57" s="10"/>
      <c r="E57" s="10"/>
      <c r="J57" s="10"/>
      <c r="K57" s="10"/>
      <c r="L57" s="10"/>
      <c r="M57" s="31"/>
      <c r="N57" s="62">
        <f t="shared" ref="N57:N59" si="8">SUM(C57:L57)</f>
        <v>0</v>
      </c>
      <c r="O57" s="10"/>
      <c r="P57" s="188"/>
      <c r="Q57" s="181"/>
      <c r="R57" s="22"/>
      <c r="S57" s="143"/>
      <c r="T57" s="143"/>
    </row>
    <row r="58" spans="1:23" ht="13.65" customHeight="1" x14ac:dyDescent="0.3">
      <c r="A58" t="s">
        <v>21</v>
      </c>
      <c r="B58" s="10">
        <v>662</v>
      </c>
      <c r="C58" s="10">
        <v>226</v>
      </c>
      <c r="D58" s="10">
        <v>12</v>
      </c>
      <c r="E58" s="10">
        <v>0</v>
      </c>
      <c r="F58" s="10">
        <v>5</v>
      </c>
      <c r="G58" s="10">
        <v>1</v>
      </c>
      <c r="H58" s="10">
        <v>0</v>
      </c>
      <c r="I58" s="10">
        <v>1</v>
      </c>
      <c r="J58" s="10">
        <v>0</v>
      </c>
      <c r="K58" s="10">
        <v>0</v>
      </c>
      <c r="L58" s="10">
        <v>7</v>
      </c>
      <c r="M58" s="31">
        <v>0</v>
      </c>
      <c r="N58" s="62">
        <f t="shared" si="8"/>
        <v>252</v>
      </c>
      <c r="O58" s="10">
        <v>57</v>
      </c>
      <c r="P58" s="188"/>
      <c r="Q58" s="181"/>
      <c r="R58" s="22"/>
      <c r="S58" s="143"/>
      <c r="T58" s="143"/>
    </row>
    <row r="59" spans="1:23" ht="13.65" customHeight="1" x14ac:dyDescent="0.3">
      <c r="A59" s="4" t="s">
        <v>22</v>
      </c>
      <c r="B59" s="11"/>
      <c r="C59" s="11"/>
      <c r="D59" s="11"/>
      <c r="E59" s="11"/>
      <c r="F59" s="4"/>
      <c r="G59" s="4"/>
      <c r="H59" s="4"/>
      <c r="I59" s="4"/>
      <c r="J59" s="11"/>
      <c r="K59" s="11"/>
      <c r="L59" s="11"/>
      <c r="M59" s="30"/>
      <c r="N59" s="11">
        <f t="shared" si="8"/>
        <v>0</v>
      </c>
      <c r="O59" s="11"/>
      <c r="P59" s="189"/>
      <c r="Q59" s="184"/>
      <c r="R59" s="22"/>
      <c r="S59" s="169"/>
      <c r="T59" s="169"/>
      <c r="V59" s="4"/>
      <c r="W59" s="4"/>
    </row>
    <row r="60" spans="1:23" ht="13.65" customHeight="1" x14ac:dyDescent="0.3">
      <c r="A60" s="3" t="s">
        <v>93</v>
      </c>
      <c r="B60" s="8">
        <f t="shared" ref="B60:O60" si="9">SUM(B48:B59)</f>
        <v>10584</v>
      </c>
      <c r="C60" s="8">
        <f t="shared" si="9"/>
        <v>2348</v>
      </c>
      <c r="D60" s="8">
        <f t="shared" si="9"/>
        <v>119</v>
      </c>
      <c r="E60" s="8">
        <f t="shared" si="9"/>
        <v>14</v>
      </c>
      <c r="F60" s="8">
        <f t="shared" si="9"/>
        <v>33.5</v>
      </c>
      <c r="G60" s="8">
        <f t="shared" si="9"/>
        <v>9</v>
      </c>
      <c r="H60" s="8">
        <f t="shared" si="9"/>
        <v>64</v>
      </c>
      <c r="I60" s="8">
        <f t="shared" si="9"/>
        <v>918</v>
      </c>
      <c r="J60" s="8">
        <f t="shared" si="9"/>
        <v>111</v>
      </c>
      <c r="K60" s="8">
        <f t="shared" si="9"/>
        <v>0</v>
      </c>
      <c r="L60" s="8">
        <f t="shared" si="9"/>
        <v>111</v>
      </c>
      <c r="M60" s="31">
        <f t="shared" si="9"/>
        <v>1</v>
      </c>
      <c r="N60" s="8">
        <f t="shared" si="9"/>
        <v>3727.5</v>
      </c>
      <c r="O60" s="8">
        <f t="shared" si="9"/>
        <v>822.5</v>
      </c>
      <c r="P60" s="186">
        <v>9.0789871885403009E-4</v>
      </c>
      <c r="Q60" s="187">
        <v>-3.2433184855233853E-2</v>
      </c>
      <c r="R60" s="22"/>
      <c r="S60" s="143">
        <v>9</v>
      </c>
      <c r="T60" s="143">
        <v>-116.5</v>
      </c>
      <c r="V60" s="12">
        <v>9913</v>
      </c>
      <c r="W60" s="12">
        <v>3592</v>
      </c>
    </row>
    <row r="61" spans="1:23" ht="13.65" customHeight="1" x14ac:dyDescent="0.3">
      <c r="A61" s="5" t="s">
        <v>86</v>
      </c>
      <c r="B61" s="9">
        <v>9913</v>
      </c>
      <c r="C61" s="9">
        <v>2297</v>
      </c>
      <c r="D61" s="9">
        <v>125</v>
      </c>
      <c r="E61" s="9">
        <v>6</v>
      </c>
      <c r="F61" s="9">
        <v>37</v>
      </c>
      <c r="G61" s="9">
        <v>19</v>
      </c>
      <c r="H61" s="9">
        <v>79</v>
      </c>
      <c r="I61" s="9">
        <v>830</v>
      </c>
      <c r="J61" s="9">
        <v>115</v>
      </c>
      <c r="K61" s="9">
        <v>0</v>
      </c>
      <c r="L61" s="9">
        <v>84</v>
      </c>
      <c r="M61" s="9">
        <v>6</v>
      </c>
      <c r="N61" s="9">
        <v>3592</v>
      </c>
      <c r="O61" s="9">
        <v>1745</v>
      </c>
      <c r="P61" s="188"/>
      <c r="Q61" s="181"/>
      <c r="R61" s="22"/>
      <c r="S61" s="143"/>
      <c r="T61" s="143"/>
    </row>
    <row r="62" spans="1:23" ht="13.65" customHeight="1" x14ac:dyDescent="0.3">
      <c r="A62" s="5" t="s">
        <v>23</v>
      </c>
      <c r="B62" s="9">
        <f t="shared" ref="B62:O62" si="10">B60-B61</f>
        <v>671</v>
      </c>
      <c r="C62" s="9">
        <f t="shared" si="10"/>
        <v>51</v>
      </c>
      <c r="D62" s="9">
        <f t="shared" si="10"/>
        <v>-6</v>
      </c>
      <c r="E62" s="9">
        <f t="shared" si="10"/>
        <v>8</v>
      </c>
      <c r="F62" s="9">
        <f t="shared" si="10"/>
        <v>-3.5</v>
      </c>
      <c r="G62" s="9">
        <f t="shared" si="10"/>
        <v>-10</v>
      </c>
      <c r="H62" s="9">
        <f t="shared" si="10"/>
        <v>-15</v>
      </c>
      <c r="I62" s="9">
        <f t="shared" si="10"/>
        <v>88</v>
      </c>
      <c r="J62" s="9">
        <f t="shared" si="10"/>
        <v>-4</v>
      </c>
      <c r="K62" s="9">
        <f t="shared" si="10"/>
        <v>0</v>
      </c>
      <c r="L62" s="9">
        <f t="shared" si="10"/>
        <v>27</v>
      </c>
      <c r="M62" s="30">
        <f t="shared" si="10"/>
        <v>-5</v>
      </c>
      <c r="N62" s="9">
        <f t="shared" si="10"/>
        <v>135.5</v>
      </c>
      <c r="O62" s="9">
        <f t="shared" si="10"/>
        <v>-922.5</v>
      </c>
      <c r="P62" s="19"/>
      <c r="Q62" s="121"/>
      <c r="R62" s="22"/>
      <c r="S62" s="22"/>
      <c r="T62" s="22"/>
    </row>
    <row r="68" spans="1:23" ht="13.65" customHeight="1" x14ac:dyDescent="0.25">
      <c r="P68" s="22"/>
      <c r="Q68" s="165">
        <f>N64+N44+N24</f>
        <v>0</v>
      </c>
      <c r="R68" s="22"/>
      <c r="S68" s="22"/>
      <c r="T68" s="22"/>
    </row>
    <row r="69" spans="1:23" ht="13.65" customHeight="1" x14ac:dyDescent="0.25">
      <c r="P69" s="22"/>
      <c r="Q69" s="22"/>
      <c r="R69" s="22"/>
      <c r="S69" s="22"/>
      <c r="T69" s="22"/>
    </row>
    <row r="70" spans="1:23" ht="13.65" customHeight="1" x14ac:dyDescent="0.25">
      <c r="P70" s="22"/>
      <c r="Q70" s="22"/>
      <c r="R70" s="22"/>
      <c r="S70" s="22"/>
      <c r="T70" s="22"/>
    </row>
    <row r="71" spans="1:23" ht="13.65" customHeight="1" x14ac:dyDescent="0.25">
      <c r="P71" s="22"/>
      <c r="Q71" s="22"/>
      <c r="R71" s="22"/>
      <c r="S71" s="22"/>
      <c r="T71" s="22"/>
    </row>
    <row r="72" spans="1:23" ht="13.65" customHeight="1" x14ac:dyDescent="0.3">
      <c r="A72" s="122" t="s">
        <v>0</v>
      </c>
      <c r="B72" s="26" t="s">
        <v>1</v>
      </c>
      <c r="C72" s="26" t="s">
        <v>2</v>
      </c>
      <c r="D72" s="26" t="s">
        <v>3</v>
      </c>
      <c r="E72" s="26" t="s">
        <v>4</v>
      </c>
      <c r="F72" s="26" t="s">
        <v>5</v>
      </c>
      <c r="G72" s="75" t="s">
        <v>45</v>
      </c>
      <c r="H72" s="75" t="s">
        <v>46</v>
      </c>
      <c r="I72" s="75" t="s">
        <v>48</v>
      </c>
      <c r="J72" s="75" t="s">
        <v>47</v>
      </c>
      <c r="K72" s="75" t="s">
        <v>91</v>
      </c>
      <c r="L72" s="26" t="s">
        <v>6</v>
      </c>
      <c r="M72" s="117" t="s">
        <v>7</v>
      </c>
      <c r="N72" s="122" t="s">
        <v>8</v>
      </c>
      <c r="O72" s="26" t="s">
        <v>10</v>
      </c>
      <c r="P72" s="26" t="s">
        <v>1</v>
      </c>
      <c r="Q72" s="26" t="s">
        <v>9</v>
      </c>
      <c r="S72" s="101" t="s">
        <v>103</v>
      </c>
      <c r="T72" s="101" t="s">
        <v>104</v>
      </c>
      <c r="U72" s="102"/>
      <c r="V72" s="101" t="s">
        <v>94</v>
      </c>
      <c r="W72" s="101" t="s">
        <v>95</v>
      </c>
    </row>
    <row r="73" spans="1:23" ht="13.65" customHeight="1" x14ac:dyDescent="0.3">
      <c r="A73" t="s">
        <v>11</v>
      </c>
      <c r="B73" s="10">
        <v>1827</v>
      </c>
      <c r="C73" s="10">
        <v>625</v>
      </c>
      <c r="D73" s="10">
        <v>56</v>
      </c>
      <c r="E73" s="10">
        <v>0</v>
      </c>
      <c r="F73" s="10">
        <v>11</v>
      </c>
      <c r="G73" s="10">
        <v>0</v>
      </c>
      <c r="H73" s="10">
        <v>2</v>
      </c>
      <c r="I73" s="10">
        <v>1</v>
      </c>
      <c r="J73" s="10">
        <v>0</v>
      </c>
      <c r="K73" s="10">
        <v>31</v>
      </c>
      <c r="L73" s="10">
        <v>2</v>
      </c>
      <c r="M73" s="31">
        <v>0</v>
      </c>
      <c r="N73" s="10">
        <f t="shared" ref="N73:N74" si="11">SUM(C73:L73)</f>
        <v>728</v>
      </c>
      <c r="O73" s="10">
        <v>227</v>
      </c>
      <c r="P73" s="192">
        <f>S73/V73</f>
        <v>2.1941854086670325E-3</v>
      </c>
      <c r="Q73" s="193">
        <f>T73/W73</f>
        <v>-5.4644808743169399E-3</v>
      </c>
      <c r="R73" s="22"/>
      <c r="S73" s="143">
        <f>B73-V73</f>
        <v>4</v>
      </c>
      <c r="T73" s="143">
        <f>N73-W73</f>
        <v>-4</v>
      </c>
      <c r="V73" s="12">
        <f>B6</f>
        <v>1823</v>
      </c>
      <c r="W73" s="12">
        <f>N6</f>
        <v>732</v>
      </c>
    </row>
    <row r="74" spans="1:23" ht="13.65" customHeight="1" x14ac:dyDescent="0.3">
      <c r="A74" t="s">
        <v>12</v>
      </c>
      <c r="B74" s="10">
        <v>1743</v>
      </c>
      <c r="C74" s="10">
        <v>589</v>
      </c>
      <c r="D74" s="10">
        <v>43</v>
      </c>
      <c r="E74" s="10">
        <v>0</v>
      </c>
      <c r="F74" s="10">
        <v>0</v>
      </c>
      <c r="G74" s="10">
        <v>0</v>
      </c>
      <c r="H74" s="10">
        <v>1</v>
      </c>
      <c r="I74" s="14">
        <v>1</v>
      </c>
      <c r="J74" s="10">
        <v>0</v>
      </c>
      <c r="K74" s="10">
        <v>0</v>
      </c>
      <c r="L74" s="10">
        <v>0</v>
      </c>
      <c r="M74" s="31">
        <v>0</v>
      </c>
      <c r="N74" s="10">
        <f t="shared" si="11"/>
        <v>634</v>
      </c>
      <c r="O74" s="10">
        <v>43</v>
      </c>
      <c r="P74" s="192">
        <f t="shared" ref="P74:P78" si="12">S74/V74</f>
        <v>-0.32572533849129592</v>
      </c>
      <c r="Q74" s="193">
        <f t="shared" ref="Q74:Q77" si="13">T74/W74</f>
        <v>-0.30022075055187636</v>
      </c>
      <c r="R74" s="22"/>
      <c r="S74" s="143">
        <f t="shared" ref="S74" si="14">B74-V74</f>
        <v>-842</v>
      </c>
      <c r="T74" s="143">
        <f>N74-W74</f>
        <v>-272</v>
      </c>
      <c r="V74" s="12">
        <f t="shared" ref="V74:V84" si="15">B7</f>
        <v>2585</v>
      </c>
      <c r="W74" s="12">
        <f t="shared" ref="W74:W84" si="16">N7</f>
        <v>906</v>
      </c>
    </row>
    <row r="75" spans="1:23" ht="13.65" customHeight="1" x14ac:dyDescent="0.3">
      <c r="A75" t="s">
        <v>13</v>
      </c>
      <c r="B75" s="10">
        <v>1910</v>
      </c>
      <c r="C75" s="10">
        <v>641</v>
      </c>
      <c r="D75" s="10">
        <v>69</v>
      </c>
      <c r="E75" s="10">
        <v>0</v>
      </c>
      <c r="F75" s="10">
        <v>5</v>
      </c>
      <c r="G75" s="10">
        <v>0</v>
      </c>
      <c r="H75" s="10">
        <v>2</v>
      </c>
      <c r="I75" s="14">
        <v>0</v>
      </c>
      <c r="J75" s="10">
        <v>0</v>
      </c>
      <c r="K75" s="10">
        <v>0</v>
      </c>
      <c r="L75" s="10">
        <v>2</v>
      </c>
      <c r="M75" s="31">
        <v>0</v>
      </c>
      <c r="N75" s="10">
        <f t="shared" ref="N75:N76" si="17">SUM(C75:L75)</f>
        <v>719</v>
      </c>
      <c r="O75" s="10">
        <v>135</v>
      </c>
      <c r="P75" s="192">
        <f t="shared" si="12"/>
        <v>-0.14770191878625613</v>
      </c>
      <c r="Q75" s="193">
        <f t="shared" si="13"/>
        <v>-0.24156118143459915</v>
      </c>
      <c r="R75" s="22"/>
      <c r="S75" s="143">
        <f>B75-V75</f>
        <v>-331</v>
      </c>
      <c r="T75" s="143">
        <f t="shared" ref="T75:T77" si="18">N75-W75</f>
        <v>-229</v>
      </c>
      <c r="V75" s="12">
        <f t="shared" si="15"/>
        <v>2241</v>
      </c>
      <c r="W75" s="12">
        <f t="shared" si="16"/>
        <v>948</v>
      </c>
    </row>
    <row r="76" spans="1:23" ht="13.65" customHeight="1" x14ac:dyDescent="0.3">
      <c r="A76" t="s">
        <v>14</v>
      </c>
      <c r="B76" s="10">
        <v>2115</v>
      </c>
      <c r="C76" s="10">
        <v>695</v>
      </c>
      <c r="D76" s="10">
        <v>41</v>
      </c>
      <c r="E76" s="10">
        <v>0</v>
      </c>
      <c r="F76" s="10">
        <v>12</v>
      </c>
      <c r="G76" s="69">
        <v>0</v>
      </c>
      <c r="H76" s="69">
        <v>7</v>
      </c>
      <c r="I76" s="14">
        <v>0</v>
      </c>
      <c r="J76" s="69">
        <v>0</v>
      </c>
      <c r="K76" s="69">
        <v>0</v>
      </c>
      <c r="L76" s="10">
        <v>0</v>
      </c>
      <c r="M76" s="31">
        <v>0</v>
      </c>
      <c r="N76" s="10">
        <f t="shared" si="17"/>
        <v>755</v>
      </c>
      <c r="O76" s="10">
        <v>369</v>
      </c>
      <c r="P76" s="192">
        <f t="shared" si="12"/>
        <v>-0.1402439024390244</v>
      </c>
      <c r="Q76" s="193">
        <f t="shared" si="13"/>
        <v>-0.1694169416941694</v>
      </c>
      <c r="R76" s="22"/>
      <c r="S76" s="143">
        <f>B76-V76</f>
        <v>-345</v>
      </c>
      <c r="T76" s="143">
        <f t="shared" si="18"/>
        <v>-154</v>
      </c>
      <c r="V76" s="12">
        <f t="shared" si="15"/>
        <v>2460</v>
      </c>
      <c r="W76" s="12">
        <f t="shared" si="16"/>
        <v>909</v>
      </c>
    </row>
    <row r="77" spans="1:23" ht="13.65" customHeight="1" x14ac:dyDescent="0.3">
      <c r="A77" t="s">
        <v>15</v>
      </c>
      <c r="B77" s="10">
        <v>3281</v>
      </c>
      <c r="C77" s="10">
        <v>967</v>
      </c>
      <c r="D77" s="10">
        <v>39</v>
      </c>
      <c r="E77" s="10">
        <v>4</v>
      </c>
      <c r="F77" s="10">
        <v>12</v>
      </c>
      <c r="G77" s="69">
        <v>1</v>
      </c>
      <c r="H77" s="69">
        <v>13</v>
      </c>
      <c r="I77" s="14">
        <v>38</v>
      </c>
      <c r="J77" s="69">
        <v>5</v>
      </c>
      <c r="K77" s="69">
        <v>93</v>
      </c>
      <c r="L77" s="10">
        <v>1</v>
      </c>
      <c r="M77" s="31">
        <v>0</v>
      </c>
      <c r="N77" s="10">
        <f>SUM(C77:L77)</f>
        <v>1173</v>
      </c>
      <c r="O77" s="10">
        <v>536</v>
      </c>
      <c r="P77" s="192">
        <f t="shared" si="12"/>
        <v>-0.29380111924235902</v>
      </c>
      <c r="Q77" s="193">
        <f t="shared" si="13"/>
        <v>-0.27681874229346487</v>
      </c>
      <c r="R77" s="22"/>
      <c r="S77" s="143">
        <f t="shared" ref="S77:S79" si="19">B77-V77</f>
        <v>-1365</v>
      </c>
      <c r="T77" s="143">
        <f t="shared" si="18"/>
        <v>-449</v>
      </c>
      <c r="V77" s="12">
        <f t="shared" si="15"/>
        <v>4646</v>
      </c>
      <c r="W77" s="12">
        <f t="shared" si="16"/>
        <v>1622</v>
      </c>
    </row>
    <row r="78" spans="1:23" ht="13.65" customHeight="1" x14ac:dyDescent="0.3">
      <c r="A78" t="s">
        <v>16</v>
      </c>
      <c r="B78" s="10">
        <v>5739</v>
      </c>
      <c r="C78" s="10">
        <v>1445</v>
      </c>
      <c r="D78" s="10">
        <v>47</v>
      </c>
      <c r="E78" s="10">
        <v>4</v>
      </c>
      <c r="F78" s="10">
        <v>10</v>
      </c>
      <c r="G78" s="69">
        <v>5</v>
      </c>
      <c r="H78" s="69">
        <v>34</v>
      </c>
      <c r="I78" s="14">
        <v>187</v>
      </c>
      <c r="J78" s="69">
        <v>27</v>
      </c>
      <c r="K78" s="69">
        <v>0</v>
      </c>
      <c r="L78" s="10">
        <v>0</v>
      </c>
      <c r="M78" s="31">
        <v>1</v>
      </c>
      <c r="N78" s="10">
        <f t="shared" ref="N78:N82" si="20">SUM(C78:L78)</f>
        <v>1759</v>
      </c>
      <c r="O78" s="10">
        <v>540</v>
      </c>
      <c r="P78" s="192">
        <f t="shared" si="12"/>
        <v>-0.1216712580348944</v>
      </c>
      <c r="Q78" s="193">
        <f>T78/W78</f>
        <v>-0.17223529411764707</v>
      </c>
      <c r="R78" s="22"/>
      <c r="S78" s="143">
        <f t="shared" si="19"/>
        <v>-795</v>
      </c>
      <c r="T78" s="143">
        <f>N78-W78</f>
        <v>-366</v>
      </c>
      <c r="V78" s="12">
        <f t="shared" si="15"/>
        <v>6534</v>
      </c>
      <c r="W78" s="12">
        <f t="shared" si="16"/>
        <v>2125</v>
      </c>
    </row>
    <row r="79" spans="1:23" ht="13.65" customHeight="1" x14ac:dyDescent="0.3">
      <c r="A79" t="s">
        <v>17</v>
      </c>
      <c r="B79" s="10">
        <v>7647</v>
      </c>
      <c r="C79" s="10">
        <v>1669</v>
      </c>
      <c r="D79" s="10">
        <v>59</v>
      </c>
      <c r="E79" s="10">
        <v>6</v>
      </c>
      <c r="F79" s="10">
        <v>11</v>
      </c>
      <c r="G79" s="69">
        <v>8</v>
      </c>
      <c r="H79" s="69">
        <v>48</v>
      </c>
      <c r="I79" s="69">
        <v>597</v>
      </c>
      <c r="J79" s="69">
        <v>76</v>
      </c>
      <c r="K79" s="69">
        <v>0</v>
      </c>
      <c r="L79" s="10">
        <v>0</v>
      </c>
      <c r="M79" s="31">
        <v>0</v>
      </c>
      <c r="N79" s="10">
        <f t="shared" si="20"/>
        <v>2474</v>
      </c>
      <c r="O79" s="10">
        <v>869</v>
      </c>
      <c r="P79" s="192">
        <f>S79/V79</f>
        <v>-0.18778544875199149</v>
      </c>
      <c r="Q79" s="193">
        <f>T79/W79</f>
        <v>-0.15706984667802384</v>
      </c>
      <c r="R79" s="22"/>
      <c r="S79" s="143">
        <f t="shared" si="19"/>
        <v>-1768</v>
      </c>
      <c r="T79" s="143">
        <f t="shared" ref="T79:T84" si="21">N79-W79</f>
        <v>-461</v>
      </c>
      <c r="V79" s="12">
        <f t="shared" si="15"/>
        <v>9415</v>
      </c>
      <c r="W79" s="12">
        <f t="shared" si="16"/>
        <v>2935</v>
      </c>
    </row>
    <row r="80" spans="1:23" ht="13.65" customHeight="1" x14ac:dyDescent="0.3">
      <c r="A80" t="s">
        <v>18</v>
      </c>
      <c r="B80" s="10">
        <v>6210</v>
      </c>
      <c r="C80" s="10">
        <v>1419</v>
      </c>
      <c r="D80" s="10">
        <v>66</v>
      </c>
      <c r="E80" s="10">
        <v>14</v>
      </c>
      <c r="F80" s="10">
        <v>28</v>
      </c>
      <c r="G80" s="69">
        <v>2</v>
      </c>
      <c r="H80" s="69">
        <v>38</v>
      </c>
      <c r="I80" s="14">
        <v>318</v>
      </c>
      <c r="J80" s="69">
        <v>29</v>
      </c>
      <c r="K80" s="69">
        <v>0</v>
      </c>
      <c r="L80" s="10">
        <v>2</v>
      </c>
      <c r="M80" s="31">
        <v>0</v>
      </c>
      <c r="N80" s="10">
        <f t="shared" si="20"/>
        <v>1916</v>
      </c>
      <c r="O80" s="10">
        <v>752</v>
      </c>
      <c r="P80" s="192">
        <f t="shared" ref="P80" si="22">S80/V80</f>
        <v>-3.6013660353927349E-2</v>
      </c>
      <c r="Q80" s="193">
        <f t="shared" ref="Q80:Q85" si="23">T80/W80</f>
        <v>-7.751564756860857E-2</v>
      </c>
      <c r="R80" s="22"/>
      <c r="S80" s="143">
        <f>B80-V80</f>
        <v>-232</v>
      </c>
      <c r="T80" s="143">
        <f t="shared" si="21"/>
        <v>-161</v>
      </c>
      <c r="V80" s="12">
        <f t="shared" si="15"/>
        <v>6442</v>
      </c>
      <c r="W80" s="12">
        <f t="shared" si="16"/>
        <v>2077</v>
      </c>
    </row>
    <row r="81" spans="1:23" ht="13.65" customHeight="1" x14ac:dyDescent="0.3">
      <c r="A81" t="s">
        <v>19</v>
      </c>
      <c r="B81" s="10">
        <v>3640</v>
      </c>
      <c r="C81" s="10">
        <v>1109</v>
      </c>
      <c r="D81" s="10">
        <v>40</v>
      </c>
      <c r="E81" s="10">
        <v>2</v>
      </c>
      <c r="F81" s="10">
        <v>16</v>
      </c>
      <c r="G81" s="69">
        <v>2</v>
      </c>
      <c r="H81" s="69">
        <v>16</v>
      </c>
      <c r="I81" s="14">
        <v>37</v>
      </c>
      <c r="J81" s="69">
        <v>4</v>
      </c>
      <c r="K81" s="69">
        <v>0</v>
      </c>
      <c r="L81" s="10">
        <v>1</v>
      </c>
      <c r="M81" s="31">
        <v>0</v>
      </c>
      <c r="N81" s="10">
        <f t="shared" si="20"/>
        <v>1227</v>
      </c>
      <c r="O81" s="10">
        <v>473</v>
      </c>
      <c r="P81" s="192">
        <f>S81/V81</f>
        <v>-6.1371841155234655E-2</v>
      </c>
      <c r="Q81" s="193">
        <f t="shared" si="23"/>
        <v>-7.3262839879154079E-2</v>
      </c>
      <c r="R81" s="22"/>
      <c r="S81" s="143">
        <f t="shared" ref="S81:S83" si="24">B81-V81</f>
        <v>-238</v>
      </c>
      <c r="T81" s="143">
        <f t="shared" si="21"/>
        <v>-97</v>
      </c>
      <c r="V81" s="12">
        <f t="shared" si="15"/>
        <v>3878</v>
      </c>
      <c r="W81" s="12">
        <f t="shared" si="16"/>
        <v>1324</v>
      </c>
    </row>
    <row r="82" spans="1:23" ht="13.65" customHeight="1" x14ac:dyDescent="0.3">
      <c r="A82" t="s">
        <v>20</v>
      </c>
      <c r="B82" s="10">
        <v>2504</v>
      </c>
      <c r="C82" s="10">
        <v>798</v>
      </c>
      <c r="D82" s="10">
        <v>51</v>
      </c>
      <c r="E82" s="10">
        <v>1</v>
      </c>
      <c r="F82" s="10">
        <v>9</v>
      </c>
      <c r="G82" s="69">
        <v>1</v>
      </c>
      <c r="H82" s="69">
        <v>5</v>
      </c>
      <c r="I82" s="14">
        <v>3</v>
      </c>
      <c r="J82" s="69">
        <v>0</v>
      </c>
      <c r="K82" s="69">
        <v>0</v>
      </c>
      <c r="L82" s="10">
        <v>1</v>
      </c>
      <c r="M82" s="31">
        <v>0</v>
      </c>
      <c r="N82" s="10">
        <f t="shared" si="20"/>
        <v>869</v>
      </c>
      <c r="O82" s="10">
        <v>271</v>
      </c>
      <c r="P82" s="192">
        <f t="shared" ref="P82:P85" si="25">S82/V82</f>
        <v>-0.12904347826086957</v>
      </c>
      <c r="Q82" s="193">
        <f t="shared" si="23"/>
        <v>-0.12044534412955465</v>
      </c>
      <c r="R82" s="22"/>
      <c r="S82" s="143">
        <f t="shared" si="24"/>
        <v>-371</v>
      </c>
      <c r="T82" s="143">
        <f t="shared" si="21"/>
        <v>-119</v>
      </c>
      <c r="V82" s="12">
        <f t="shared" si="15"/>
        <v>2875</v>
      </c>
      <c r="W82" s="12">
        <f t="shared" si="16"/>
        <v>988</v>
      </c>
    </row>
    <row r="83" spans="1:23" ht="13.65" customHeight="1" x14ac:dyDescent="0.3">
      <c r="A83" t="s">
        <v>21</v>
      </c>
      <c r="B83" s="10">
        <v>1449</v>
      </c>
      <c r="C83" s="10">
        <v>494</v>
      </c>
      <c r="D83" s="10">
        <v>32</v>
      </c>
      <c r="E83" s="10">
        <v>0</v>
      </c>
      <c r="F83" s="10">
        <v>16</v>
      </c>
      <c r="G83" s="69">
        <v>0</v>
      </c>
      <c r="H83" s="69">
        <v>0</v>
      </c>
      <c r="I83" s="69">
        <v>0</v>
      </c>
      <c r="J83" s="69">
        <v>0</v>
      </c>
      <c r="K83" s="69">
        <v>0</v>
      </c>
      <c r="L83" s="10">
        <v>2</v>
      </c>
      <c r="M83" s="31">
        <v>0</v>
      </c>
      <c r="N83" s="10">
        <v>544</v>
      </c>
      <c r="O83" s="10">
        <v>354</v>
      </c>
      <c r="P83" s="192">
        <f t="shared" si="25"/>
        <v>-0.24766355140186916</v>
      </c>
      <c r="Q83" s="193">
        <f t="shared" si="23"/>
        <v>-0.25479452054794521</v>
      </c>
      <c r="R83" s="22"/>
      <c r="S83" s="143">
        <f t="shared" si="24"/>
        <v>-477</v>
      </c>
      <c r="T83" s="143">
        <f t="shared" si="21"/>
        <v>-186</v>
      </c>
      <c r="V83" s="12">
        <f t="shared" si="15"/>
        <v>1926</v>
      </c>
      <c r="W83" s="12">
        <f t="shared" si="16"/>
        <v>730</v>
      </c>
    </row>
    <row r="84" spans="1:23" ht="13.65" customHeight="1" x14ac:dyDescent="0.3">
      <c r="A84" s="4" t="s">
        <v>22</v>
      </c>
      <c r="B84" s="11">
        <v>1937</v>
      </c>
      <c r="C84" s="11">
        <v>651</v>
      </c>
      <c r="D84" s="11">
        <v>37</v>
      </c>
      <c r="E84" s="11">
        <v>0</v>
      </c>
      <c r="F84" s="11">
        <v>3</v>
      </c>
      <c r="G84" s="15">
        <v>0</v>
      </c>
      <c r="H84" s="15">
        <v>2</v>
      </c>
      <c r="I84" s="15">
        <v>0</v>
      </c>
      <c r="J84" s="15">
        <v>0</v>
      </c>
      <c r="K84" s="15">
        <v>0</v>
      </c>
      <c r="L84" s="11">
        <v>0</v>
      </c>
      <c r="M84" s="30">
        <v>0</v>
      </c>
      <c r="N84" s="11">
        <v>693</v>
      </c>
      <c r="O84" s="11">
        <v>370</v>
      </c>
      <c r="P84" s="194">
        <f t="shared" si="25"/>
        <v>1.0432968179447054E-2</v>
      </c>
      <c r="Q84" s="195">
        <f t="shared" si="23"/>
        <v>-1.440922190201729E-3</v>
      </c>
      <c r="R84" s="22"/>
      <c r="S84" s="169">
        <f>B84-V84</f>
        <v>20</v>
      </c>
      <c r="T84" s="169">
        <f t="shared" si="21"/>
        <v>-1</v>
      </c>
      <c r="V84" s="20">
        <f t="shared" si="15"/>
        <v>1917</v>
      </c>
      <c r="W84" s="20">
        <f t="shared" si="16"/>
        <v>694</v>
      </c>
    </row>
    <row r="85" spans="1:23" ht="13.65" customHeight="1" x14ac:dyDescent="0.3">
      <c r="A85" s="3" t="s">
        <v>106</v>
      </c>
      <c r="B85" s="8">
        <f t="shared" ref="B85:O85" si="26">SUM(B73:B84)</f>
        <v>40002</v>
      </c>
      <c r="C85" s="8">
        <f t="shared" si="26"/>
        <v>11102</v>
      </c>
      <c r="D85" s="8">
        <f t="shared" si="26"/>
        <v>580</v>
      </c>
      <c r="E85" s="8">
        <f t="shared" si="26"/>
        <v>31</v>
      </c>
      <c r="F85" s="8">
        <f t="shared" si="26"/>
        <v>133</v>
      </c>
      <c r="G85" s="8">
        <f t="shared" si="26"/>
        <v>19</v>
      </c>
      <c r="H85" s="8">
        <f t="shared" si="26"/>
        <v>168</v>
      </c>
      <c r="I85" s="8">
        <f t="shared" si="26"/>
        <v>1182</v>
      </c>
      <c r="J85" s="8">
        <f t="shared" si="26"/>
        <v>141</v>
      </c>
      <c r="K85" s="8">
        <f t="shared" si="26"/>
        <v>124</v>
      </c>
      <c r="L85" s="8">
        <f t="shared" si="26"/>
        <v>11</v>
      </c>
      <c r="M85" s="31">
        <f t="shared" si="26"/>
        <v>1</v>
      </c>
      <c r="N85" s="8">
        <f t="shared" si="26"/>
        <v>13491</v>
      </c>
      <c r="O85" s="8">
        <f t="shared" si="26"/>
        <v>4939</v>
      </c>
      <c r="P85" s="196">
        <f t="shared" si="25"/>
        <v>-0.14419579821145864</v>
      </c>
      <c r="Q85" s="196">
        <f t="shared" si="23"/>
        <v>-0.15628517823639776</v>
      </c>
      <c r="R85" s="22"/>
      <c r="S85" s="143">
        <f>SUM(S73:S84)</f>
        <v>-6740</v>
      </c>
      <c r="T85" s="143">
        <f>SUM(T73:T84)</f>
        <v>-2499</v>
      </c>
      <c r="V85" s="12">
        <f>SUM(V73:V84)</f>
        <v>46742</v>
      </c>
      <c r="W85" s="12">
        <f>SUM(W73:W84)</f>
        <v>15990</v>
      </c>
    </row>
    <row r="86" spans="1:23" ht="13.65" customHeight="1" x14ac:dyDescent="0.3">
      <c r="A86" s="5" t="s">
        <v>93</v>
      </c>
      <c r="B86" s="9">
        <v>46742</v>
      </c>
      <c r="C86" s="9">
        <v>13097</v>
      </c>
      <c r="D86" s="9">
        <v>614</v>
      </c>
      <c r="E86" s="9">
        <v>41</v>
      </c>
      <c r="F86" s="9">
        <v>163</v>
      </c>
      <c r="G86" s="9">
        <v>51</v>
      </c>
      <c r="H86" s="9">
        <v>231</v>
      </c>
      <c r="I86" s="9">
        <v>1250</v>
      </c>
      <c r="J86" s="9">
        <v>225</v>
      </c>
      <c r="K86" s="9">
        <v>187</v>
      </c>
      <c r="L86" s="9">
        <v>131</v>
      </c>
      <c r="M86" s="9">
        <v>7</v>
      </c>
      <c r="N86" s="9">
        <v>15990</v>
      </c>
      <c r="O86" s="9">
        <v>5144.7</v>
      </c>
      <c r="P86" s="248">
        <v>-4.4090395961575331E-3</v>
      </c>
      <c r="Q86" s="248">
        <v>-2.0640656581123292E-2</v>
      </c>
      <c r="R86" s="22"/>
      <c r="S86" s="197"/>
      <c r="T86" s="197"/>
    </row>
    <row r="87" spans="1:23" ht="13.65" customHeight="1" x14ac:dyDescent="0.3">
      <c r="A87" s="5" t="s">
        <v>23</v>
      </c>
      <c r="B87" s="9">
        <f t="shared" ref="B87:O87" si="27">B85-B86</f>
        <v>-6740</v>
      </c>
      <c r="C87" s="9">
        <f t="shared" si="27"/>
        <v>-1995</v>
      </c>
      <c r="D87" s="9">
        <f t="shared" si="27"/>
        <v>-34</v>
      </c>
      <c r="E87" s="9">
        <f t="shared" si="27"/>
        <v>-10</v>
      </c>
      <c r="F87" s="9">
        <f t="shared" si="27"/>
        <v>-30</v>
      </c>
      <c r="G87" s="9">
        <f t="shared" si="27"/>
        <v>-32</v>
      </c>
      <c r="H87" s="9">
        <f t="shared" si="27"/>
        <v>-63</v>
      </c>
      <c r="I87" s="9">
        <f t="shared" si="27"/>
        <v>-68</v>
      </c>
      <c r="J87" s="9">
        <f t="shared" si="27"/>
        <v>-84</v>
      </c>
      <c r="K87" s="9">
        <f t="shared" si="27"/>
        <v>-63</v>
      </c>
      <c r="L87" s="9">
        <f t="shared" si="27"/>
        <v>-120</v>
      </c>
      <c r="M87" s="30">
        <f t="shared" si="27"/>
        <v>-6</v>
      </c>
      <c r="N87" s="9">
        <f t="shared" si="27"/>
        <v>-2499</v>
      </c>
      <c r="O87" s="9">
        <f t="shared" si="27"/>
        <v>-205.69999999999982</v>
      </c>
      <c r="P87" s="19"/>
      <c r="Q87" s="19"/>
      <c r="R87" s="22"/>
      <c r="S87" s="197"/>
      <c r="T87" s="197"/>
    </row>
    <row r="88" spans="1:23" ht="13.65" customHeight="1" x14ac:dyDescent="0.25">
      <c r="P88" s="22"/>
      <c r="Q88" s="22"/>
      <c r="R88" s="22"/>
      <c r="S88" s="22"/>
      <c r="T88" s="22"/>
    </row>
    <row r="89" spans="1:23" ht="13.65" customHeight="1" x14ac:dyDescent="0.25">
      <c r="P89" s="22"/>
      <c r="Q89" s="22"/>
      <c r="R89" s="22"/>
      <c r="S89" s="22"/>
      <c r="T89" s="22"/>
    </row>
    <row r="90" spans="1:23" ht="13.65" customHeight="1" x14ac:dyDescent="0.25">
      <c r="P90" s="22"/>
      <c r="Q90" s="22"/>
      <c r="R90" s="22"/>
      <c r="S90" s="22"/>
      <c r="T90" s="22"/>
    </row>
    <row r="91" spans="1:23" ht="13.65" customHeight="1" x14ac:dyDescent="0.25">
      <c r="P91" s="22"/>
      <c r="Q91" s="22"/>
      <c r="R91" s="22"/>
      <c r="S91" s="22"/>
      <c r="T91" s="22"/>
    </row>
    <row r="92" spans="1:23" ht="13.65" customHeight="1" x14ac:dyDescent="0.25">
      <c r="P92" s="22"/>
      <c r="Q92" s="22"/>
      <c r="R92" s="22"/>
      <c r="S92" s="22"/>
      <c r="T92" s="22"/>
    </row>
    <row r="93" spans="1:23" ht="13.65" customHeight="1" x14ac:dyDescent="0.3">
      <c r="A93" s="1" t="s">
        <v>0</v>
      </c>
      <c r="B93" s="2" t="s">
        <v>1</v>
      </c>
      <c r="C93" s="2" t="s">
        <v>2</v>
      </c>
      <c r="D93" s="2" t="s">
        <v>3</v>
      </c>
      <c r="E93" s="2" t="s">
        <v>4</v>
      </c>
      <c r="F93" s="2" t="s">
        <v>5</v>
      </c>
      <c r="G93" s="67" t="s">
        <v>45</v>
      </c>
      <c r="H93" s="67" t="s">
        <v>46</v>
      </c>
      <c r="I93" s="67" t="s">
        <v>48</v>
      </c>
      <c r="J93" s="67" t="s">
        <v>47</v>
      </c>
      <c r="K93" s="75" t="s">
        <v>91</v>
      </c>
      <c r="L93" s="2" t="s">
        <v>6</v>
      </c>
      <c r="M93" s="33" t="s">
        <v>7</v>
      </c>
      <c r="N93" s="1" t="s">
        <v>8</v>
      </c>
      <c r="O93" s="2" t="s">
        <v>25</v>
      </c>
      <c r="P93" s="2" t="s">
        <v>1</v>
      </c>
      <c r="Q93" s="6" t="s">
        <v>9</v>
      </c>
      <c r="R93" s="22"/>
      <c r="S93" s="101" t="s">
        <v>103</v>
      </c>
      <c r="T93" s="101" t="s">
        <v>104</v>
      </c>
      <c r="U93" s="102"/>
      <c r="V93" s="101" t="s">
        <v>94</v>
      </c>
      <c r="W93" s="101" t="s">
        <v>95</v>
      </c>
    </row>
    <row r="94" spans="1:23" ht="13.65" customHeight="1" x14ac:dyDescent="0.3">
      <c r="A94" t="s">
        <v>11</v>
      </c>
      <c r="B94" s="10">
        <v>2253</v>
      </c>
      <c r="C94" s="10">
        <v>775</v>
      </c>
      <c r="D94" s="10">
        <v>108</v>
      </c>
      <c r="E94" s="10">
        <v>0</v>
      </c>
      <c r="F94" s="10">
        <v>8</v>
      </c>
      <c r="G94" s="10">
        <v>0</v>
      </c>
      <c r="H94" s="10">
        <v>0</v>
      </c>
      <c r="I94" s="10">
        <v>0</v>
      </c>
      <c r="J94" s="10">
        <v>0</v>
      </c>
      <c r="K94" s="10">
        <v>0</v>
      </c>
      <c r="L94" s="10">
        <v>5</v>
      </c>
      <c r="M94" s="31">
        <v>0</v>
      </c>
      <c r="N94" s="10">
        <f>SUM(C94:L94)</f>
        <v>896</v>
      </c>
      <c r="O94" s="10">
        <v>358</v>
      </c>
      <c r="P94" s="188">
        <f>S94/V94</f>
        <v>-5.2963430012610342E-2</v>
      </c>
      <c r="Q94" s="179">
        <f>T94/W94</f>
        <v>-6.471816283924843E-2</v>
      </c>
      <c r="R94" s="22"/>
      <c r="S94" s="143">
        <f>B94-V94</f>
        <v>-126</v>
      </c>
      <c r="T94" s="143">
        <f>N94-W94</f>
        <v>-62</v>
      </c>
      <c r="V94" s="107">
        <f>B27</f>
        <v>2379</v>
      </c>
      <c r="W94" s="107">
        <f>N27</f>
        <v>958</v>
      </c>
    </row>
    <row r="95" spans="1:23" ht="13.65" customHeight="1" x14ac:dyDescent="0.3">
      <c r="A95" t="s">
        <v>12</v>
      </c>
      <c r="B95" s="10">
        <v>2131</v>
      </c>
      <c r="C95" s="10">
        <v>735</v>
      </c>
      <c r="D95" s="10">
        <v>89</v>
      </c>
      <c r="E95" s="10">
        <v>0</v>
      </c>
      <c r="F95" s="10">
        <v>7</v>
      </c>
      <c r="G95" s="10">
        <v>0</v>
      </c>
      <c r="H95" s="10">
        <v>0</v>
      </c>
      <c r="I95" s="10">
        <v>0</v>
      </c>
      <c r="J95" s="10">
        <v>0</v>
      </c>
      <c r="K95" s="10">
        <v>0</v>
      </c>
      <c r="L95" s="10">
        <v>1</v>
      </c>
      <c r="M95" s="31">
        <v>0</v>
      </c>
      <c r="N95" s="10">
        <f t="shared" ref="N95:N96" si="28">SUM(C95:L95)</f>
        <v>832</v>
      </c>
      <c r="O95" s="10">
        <v>198</v>
      </c>
      <c r="P95" s="191">
        <f>S95/V95</f>
        <v>-0.11060100166944908</v>
      </c>
      <c r="Q95" s="181">
        <f t="shared" ref="Q95:Q97" si="29">T95/W95</f>
        <v>-0.12421052631578948</v>
      </c>
      <c r="R95" s="22"/>
      <c r="S95" s="143">
        <f t="shared" ref="S95" si="30">B95-V95</f>
        <v>-265</v>
      </c>
      <c r="T95" s="143">
        <f t="shared" ref="T95:T105" si="31">N95-W95</f>
        <v>-118</v>
      </c>
      <c r="V95" s="107">
        <f t="shared" ref="V95:V105" si="32">B28</f>
        <v>2396</v>
      </c>
      <c r="W95" s="107">
        <f t="shared" ref="W95:W105" si="33">N28</f>
        <v>950</v>
      </c>
    </row>
    <row r="96" spans="1:23" ht="13.65" customHeight="1" x14ac:dyDescent="0.3">
      <c r="A96" t="s">
        <v>13</v>
      </c>
      <c r="B96" s="10">
        <v>2597</v>
      </c>
      <c r="C96" s="10">
        <v>837</v>
      </c>
      <c r="D96" s="10">
        <v>123</v>
      </c>
      <c r="E96" s="10">
        <v>0</v>
      </c>
      <c r="F96" s="10">
        <v>13</v>
      </c>
      <c r="G96" s="10">
        <v>0</v>
      </c>
      <c r="H96" s="10">
        <v>1</v>
      </c>
      <c r="I96" s="10">
        <v>0</v>
      </c>
      <c r="J96" s="10">
        <v>0</v>
      </c>
      <c r="K96" s="10">
        <v>62</v>
      </c>
      <c r="L96" s="10">
        <v>0</v>
      </c>
      <c r="M96" s="31">
        <v>0</v>
      </c>
      <c r="N96" s="10">
        <f t="shared" si="28"/>
        <v>1036</v>
      </c>
      <c r="O96" s="10">
        <v>291</v>
      </c>
      <c r="P96" s="191">
        <f t="shared" ref="P96:P106" si="34">S96/V96</f>
        <v>0.06</v>
      </c>
      <c r="Q96" s="181">
        <f t="shared" si="29"/>
        <v>-9.6774193548387094E-2</v>
      </c>
      <c r="R96" s="22"/>
      <c r="S96" s="143">
        <f>B96-V96</f>
        <v>147</v>
      </c>
      <c r="T96" s="143">
        <f t="shared" si="31"/>
        <v>-111</v>
      </c>
      <c r="V96" s="107">
        <f t="shared" si="32"/>
        <v>2450</v>
      </c>
      <c r="W96" s="107">
        <f t="shared" si="33"/>
        <v>1147</v>
      </c>
    </row>
    <row r="97" spans="1:23" ht="13.65" customHeight="1" x14ac:dyDescent="0.3">
      <c r="A97" t="s">
        <v>14</v>
      </c>
      <c r="B97" s="10">
        <v>2540</v>
      </c>
      <c r="C97" s="10">
        <v>826</v>
      </c>
      <c r="D97" s="10">
        <v>77</v>
      </c>
      <c r="E97" s="10">
        <v>0</v>
      </c>
      <c r="F97" s="10">
        <v>26</v>
      </c>
      <c r="G97" s="69">
        <v>2</v>
      </c>
      <c r="H97" s="69">
        <v>4</v>
      </c>
      <c r="I97" s="69">
        <v>1</v>
      </c>
      <c r="J97" s="69">
        <v>0</v>
      </c>
      <c r="K97" s="69">
        <v>0</v>
      </c>
      <c r="L97" s="10">
        <v>0</v>
      </c>
      <c r="M97" s="31">
        <v>0</v>
      </c>
      <c r="N97" s="10">
        <f>SUM(C97:L97)</f>
        <v>936</v>
      </c>
      <c r="O97" s="10">
        <v>673</v>
      </c>
      <c r="P97" s="191">
        <f t="shared" si="34"/>
        <v>-0.30430019172829365</v>
      </c>
      <c r="Q97" s="181">
        <f t="shared" si="29"/>
        <v>-0.29518072289156627</v>
      </c>
      <c r="R97" s="22"/>
      <c r="S97" s="143">
        <f>B97-V97</f>
        <v>-1111</v>
      </c>
      <c r="T97" s="143">
        <f t="shared" si="31"/>
        <v>-392</v>
      </c>
      <c r="V97" s="107">
        <f t="shared" si="32"/>
        <v>3651</v>
      </c>
      <c r="W97" s="107">
        <f t="shared" si="33"/>
        <v>1328</v>
      </c>
    </row>
    <row r="98" spans="1:23" ht="13.65" customHeight="1" x14ac:dyDescent="0.3">
      <c r="A98" t="s">
        <v>15</v>
      </c>
      <c r="B98" s="71">
        <v>3897</v>
      </c>
      <c r="C98" s="71">
        <v>1214</v>
      </c>
      <c r="D98" s="71">
        <v>142</v>
      </c>
      <c r="E98" s="71">
        <v>0</v>
      </c>
      <c r="F98" s="71">
        <v>20</v>
      </c>
      <c r="G98" s="85">
        <v>3</v>
      </c>
      <c r="H98" s="85">
        <v>8</v>
      </c>
      <c r="I98" s="85">
        <v>10</v>
      </c>
      <c r="J98" s="85">
        <v>6</v>
      </c>
      <c r="K98" s="85">
        <v>124</v>
      </c>
      <c r="L98" s="71">
        <v>3</v>
      </c>
      <c r="M98" s="31">
        <v>7</v>
      </c>
      <c r="N98" s="10">
        <f t="shared" ref="N98:N103" si="35">SUM(C98:L98)</f>
        <v>1530</v>
      </c>
      <c r="O98" s="10">
        <v>815</v>
      </c>
      <c r="P98" s="191">
        <f t="shared" si="34"/>
        <v>5.8679706601466992E-2</v>
      </c>
      <c r="Q98" s="181">
        <f>T98/W98</f>
        <v>6.25E-2</v>
      </c>
      <c r="R98" s="22"/>
      <c r="S98" s="143">
        <f t="shared" ref="S98" si="36">B98-V98</f>
        <v>216</v>
      </c>
      <c r="T98" s="143">
        <f t="shared" si="31"/>
        <v>90</v>
      </c>
      <c r="V98" s="107">
        <f t="shared" si="32"/>
        <v>3681</v>
      </c>
      <c r="W98" s="107">
        <f t="shared" si="33"/>
        <v>1440</v>
      </c>
    </row>
    <row r="99" spans="1:23" ht="13.65" customHeight="1" x14ac:dyDescent="0.3">
      <c r="A99" t="s">
        <v>16</v>
      </c>
      <c r="B99" s="16">
        <v>4308</v>
      </c>
      <c r="C99" s="16">
        <v>1090</v>
      </c>
      <c r="D99" s="16">
        <v>80</v>
      </c>
      <c r="E99" s="16">
        <v>3</v>
      </c>
      <c r="F99" s="16">
        <v>19</v>
      </c>
      <c r="G99" s="160">
        <v>11</v>
      </c>
      <c r="H99" s="160">
        <v>35</v>
      </c>
      <c r="I99" s="160">
        <v>170</v>
      </c>
      <c r="J99" s="160">
        <v>10</v>
      </c>
      <c r="K99" s="160">
        <v>0</v>
      </c>
      <c r="L99" s="16">
        <v>1</v>
      </c>
      <c r="M99" s="31">
        <v>2</v>
      </c>
      <c r="N99" s="10">
        <f t="shared" si="35"/>
        <v>1419</v>
      </c>
      <c r="O99" s="102">
        <v>876</v>
      </c>
      <c r="P99" s="191">
        <f t="shared" si="34"/>
        <v>-5.8772121476949969E-2</v>
      </c>
      <c r="Q99" s="181">
        <f t="shared" ref="Q99:Q106" si="37">T99/W99</f>
        <v>-0.120817843866171</v>
      </c>
      <c r="R99" s="22"/>
      <c r="S99" s="143">
        <f>B99-V99</f>
        <v>-269</v>
      </c>
      <c r="T99" s="143">
        <f t="shared" si="31"/>
        <v>-195</v>
      </c>
      <c r="V99" s="107">
        <f t="shared" si="32"/>
        <v>4577</v>
      </c>
      <c r="W99" s="107">
        <f t="shared" si="33"/>
        <v>1614</v>
      </c>
    </row>
    <row r="100" spans="1:23" ht="13.65" customHeight="1" x14ac:dyDescent="0.3">
      <c r="A100" t="s">
        <v>17</v>
      </c>
      <c r="B100" s="10">
        <v>7098</v>
      </c>
      <c r="C100" s="10">
        <v>1283</v>
      </c>
      <c r="D100" s="10">
        <v>17</v>
      </c>
      <c r="E100" s="10">
        <v>12</v>
      </c>
      <c r="F100" s="10">
        <v>0</v>
      </c>
      <c r="G100" s="69">
        <v>17</v>
      </c>
      <c r="H100" s="69">
        <v>95</v>
      </c>
      <c r="I100" s="69">
        <v>989</v>
      </c>
      <c r="J100" s="69">
        <v>101</v>
      </c>
      <c r="K100" s="69">
        <v>62</v>
      </c>
      <c r="L100" s="10">
        <v>0</v>
      </c>
      <c r="M100" s="31">
        <v>0</v>
      </c>
      <c r="N100" s="10">
        <f t="shared" si="35"/>
        <v>2576</v>
      </c>
      <c r="O100" s="10">
        <v>708</v>
      </c>
      <c r="P100" s="191">
        <f t="shared" si="34"/>
        <v>-5.8495821727019497E-2</v>
      </c>
      <c r="Q100" s="181">
        <f t="shared" si="37"/>
        <v>5.5737704918032788E-2</v>
      </c>
      <c r="R100" s="22"/>
      <c r="S100" s="143">
        <f t="shared" ref="S100" si="38">B100-V100</f>
        <v>-441</v>
      </c>
      <c r="T100" s="143">
        <f t="shared" si="31"/>
        <v>136</v>
      </c>
      <c r="V100" s="107">
        <f t="shared" si="32"/>
        <v>7539</v>
      </c>
      <c r="W100" s="107">
        <f t="shared" si="33"/>
        <v>2440</v>
      </c>
    </row>
    <row r="101" spans="1:23" ht="13.65" customHeight="1" x14ac:dyDescent="0.3">
      <c r="A101" t="s">
        <v>18</v>
      </c>
      <c r="B101" s="10">
        <v>5284</v>
      </c>
      <c r="C101" s="10">
        <v>1172</v>
      </c>
      <c r="D101" s="10">
        <v>79</v>
      </c>
      <c r="E101" s="10">
        <v>13</v>
      </c>
      <c r="F101" s="10">
        <v>24</v>
      </c>
      <c r="G101" s="69">
        <v>6</v>
      </c>
      <c r="H101" s="69">
        <v>40</v>
      </c>
      <c r="I101" s="69">
        <v>378</v>
      </c>
      <c r="J101" s="69">
        <v>49</v>
      </c>
      <c r="K101" s="69">
        <v>31</v>
      </c>
      <c r="L101" s="10">
        <v>1</v>
      </c>
      <c r="M101" s="31">
        <v>2</v>
      </c>
      <c r="N101" s="10">
        <f t="shared" si="35"/>
        <v>1793</v>
      </c>
      <c r="O101" s="10">
        <v>918</v>
      </c>
      <c r="P101" s="191">
        <f t="shared" si="34"/>
        <v>-5.6454648099360178E-3</v>
      </c>
      <c r="Q101" s="181">
        <f t="shared" si="37"/>
        <v>-8.5204081632653056E-2</v>
      </c>
      <c r="R101" s="22"/>
      <c r="S101" s="143">
        <f>B101-V101</f>
        <v>-30</v>
      </c>
      <c r="T101" s="143">
        <f t="shared" si="31"/>
        <v>-167</v>
      </c>
      <c r="V101" s="107">
        <f t="shared" si="32"/>
        <v>5314</v>
      </c>
      <c r="W101" s="107">
        <f t="shared" si="33"/>
        <v>1960</v>
      </c>
    </row>
    <row r="102" spans="1:23" ht="13.65" customHeight="1" x14ac:dyDescent="0.3">
      <c r="A102" t="s">
        <v>19</v>
      </c>
      <c r="B102" s="10">
        <v>3817</v>
      </c>
      <c r="C102" s="10">
        <v>1185</v>
      </c>
      <c r="D102" s="10">
        <v>120</v>
      </c>
      <c r="E102" s="10">
        <v>2</v>
      </c>
      <c r="F102" s="10">
        <v>25</v>
      </c>
      <c r="G102" s="69">
        <v>0</v>
      </c>
      <c r="H102" s="69">
        <v>10</v>
      </c>
      <c r="I102" s="69">
        <v>13</v>
      </c>
      <c r="J102" s="69">
        <v>8</v>
      </c>
      <c r="K102" s="69">
        <v>0</v>
      </c>
      <c r="L102" s="10">
        <v>3</v>
      </c>
      <c r="M102" s="31">
        <v>7</v>
      </c>
      <c r="N102" s="10">
        <f t="shared" si="35"/>
        <v>1366</v>
      </c>
      <c r="O102" s="10">
        <v>791.5</v>
      </c>
      <c r="P102" s="191">
        <f t="shared" si="34"/>
        <v>8.0079230333899271E-2</v>
      </c>
      <c r="Q102" s="181">
        <f t="shared" si="37"/>
        <v>7.3746312684365781E-3</v>
      </c>
      <c r="R102" s="22"/>
      <c r="S102" s="143">
        <f t="shared" ref="S102:S104" si="39">B102-V102</f>
        <v>283</v>
      </c>
      <c r="T102" s="143">
        <f t="shared" si="31"/>
        <v>10</v>
      </c>
      <c r="V102" s="107">
        <f t="shared" si="32"/>
        <v>3534</v>
      </c>
      <c r="W102" s="107">
        <f t="shared" si="33"/>
        <v>1356</v>
      </c>
    </row>
    <row r="103" spans="1:23" ht="13.65" customHeight="1" x14ac:dyDescent="0.3">
      <c r="A103" t="s">
        <v>20</v>
      </c>
      <c r="B103" s="10">
        <v>3527</v>
      </c>
      <c r="C103" s="10">
        <v>1143</v>
      </c>
      <c r="D103" s="10">
        <v>114</v>
      </c>
      <c r="E103" s="10">
        <v>1</v>
      </c>
      <c r="F103" s="10">
        <v>27</v>
      </c>
      <c r="G103" s="69">
        <v>2</v>
      </c>
      <c r="H103" s="69">
        <v>2</v>
      </c>
      <c r="I103" s="69">
        <v>1</v>
      </c>
      <c r="J103" s="69">
        <v>5</v>
      </c>
      <c r="K103" s="69">
        <v>31</v>
      </c>
      <c r="L103" s="10">
        <v>1</v>
      </c>
      <c r="M103" s="31">
        <v>4</v>
      </c>
      <c r="N103" s="10">
        <f t="shared" si="35"/>
        <v>1327</v>
      </c>
      <c r="O103" s="10">
        <v>683</v>
      </c>
      <c r="P103" s="191">
        <f t="shared" si="34"/>
        <v>0.12003810733566211</v>
      </c>
      <c r="Q103" s="181">
        <f t="shared" si="37"/>
        <v>2.6295436968290797E-2</v>
      </c>
      <c r="R103" s="22"/>
      <c r="S103" s="143">
        <f t="shared" si="39"/>
        <v>378</v>
      </c>
      <c r="T103" s="143">
        <f t="shared" si="31"/>
        <v>34</v>
      </c>
      <c r="V103" s="107">
        <f t="shared" si="32"/>
        <v>3149</v>
      </c>
      <c r="W103" s="107">
        <f t="shared" si="33"/>
        <v>1293</v>
      </c>
    </row>
    <row r="104" spans="1:23" ht="13.65" customHeight="1" x14ac:dyDescent="0.3">
      <c r="A104" t="s">
        <v>21</v>
      </c>
      <c r="B104" s="10">
        <v>2839</v>
      </c>
      <c r="C104" s="10">
        <v>935</v>
      </c>
      <c r="D104" s="10">
        <v>110</v>
      </c>
      <c r="E104" s="10">
        <v>0</v>
      </c>
      <c r="F104" s="10">
        <v>35</v>
      </c>
      <c r="G104" s="69">
        <v>0</v>
      </c>
      <c r="H104" s="69">
        <v>3</v>
      </c>
      <c r="I104" s="69">
        <v>0</v>
      </c>
      <c r="J104" s="69">
        <v>0</v>
      </c>
      <c r="K104" s="69">
        <v>0</v>
      </c>
      <c r="L104" s="10">
        <v>0</v>
      </c>
      <c r="M104" s="31">
        <v>1</v>
      </c>
      <c r="N104" s="10">
        <v>1083</v>
      </c>
      <c r="O104" s="10">
        <v>761</v>
      </c>
      <c r="P104" s="191">
        <f t="shared" si="34"/>
        <v>4.0307805056797361E-2</v>
      </c>
      <c r="Q104" s="181">
        <f t="shared" si="37"/>
        <v>2.2662889518413599E-2</v>
      </c>
      <c r="R104" s="22"/>
      <c r="S104" s="143">
        <f t="shared" si="39"/>
        <v>110</v>
      </c>
      <c r="T104" s="143">
        <f t="shared" si="31"/>
        <v>24</v>
      </c>
      <c r="V104" s="107">
        <f t="shared" si="32"/>
        <v>2729</v>
      </c>
      <c r="W104" s="107">
        <f t="shared" si="33"/>
        <v>1059</v>
      </c>
    </row>
    <row r="105" spans="1:23" ht="13.65" customHeight="1" x14ac:dyDescent="0.3">
      <c r="A105" s="4" t="s">
        <v>22</v>
      </c>
      <c r="B105" s="11">
        <v>2586</v>
      </c>
      <c r="C105" s="11">
        <v>827</v>
      </c>
      <c r="D105" s="11">
        <v>80</v>
      </c>
      <c r="E105" s="11">
        <v>2</v>
      </c>
      <c r="F105" s="11">
        <v>20</v>
      </c>
      <c r="G105" s="15">
        <v>0</v>
      </c>
      <c r="H105" s="15">
        <v>1</v>
      </c>
      <c r="I105" s="15">
        <v>0</v>
      </c>
      <c r="J105" s="15">
        <v>0</v>
      </c>
      <c r="K105" s="15">
        <v>0</v>
      </c>
      <c r="L105" s="11">
        <v>0</v>
      </c>
      <c r="M105" s="30">
        <v>0</v>
      </c>
      <c r="N105" s="11">
        <v>930</v>
      </c>
      <c r="O105" s="11">
        <v>556</v>
      </c>
      <c r="P105" s="189">
        <f t="shared" si="34"/>
        <v>-7.1454219030520641E-2</v>
      </c>
      <c r="Q105" s="184">
        <f t="shared" si="37"/>
        <v>-0.10404624277456648</v>
      </c>
      <c r="R105" s="22"/>
      <c r="S105" s="169">
        <f>B105-V105</f>
        <v>-199</v>
      </c>
      <c r="T105" s="169">
        <f t="shared" si="31"/>
        <v>-108</v>
      </c>
      <c r="V105" s="108">
        <f t="shared" si="32"/>
        <v>2785</v>
      </c>
      <c r="W105" s="108">
        <f t="shared" si="33"/>
        <v>1038</v>
      </c>
    </row>
    <row r="106" spans="1:23" ht="13.65" customHeight="1" x14ac:dyDescent="0.3">
      <c r="A106" s="3" t="s">
        <v>106</v>
      </c>
      <c r="B106" s="8">
        <f>SUM(B93:B105)</f>
        <v>42877</v>
      </c>
      <c r="C106" s="8">
        <f t="shared" ref="C106:O106" si="40">SUM(C93:C105)</f>
        <v>12022</v>
      </c>
      <c r="D106" s="8">
        <f t="shared" si="40"/>
        <v>1139</v>
      </c>
      <c r="E106" s="8">
        <f t="shared" si="40"/>
        <v>33</v>
      </c>
      <c r="F106" s="8">
        <f t="shared" si="40"/>
        <v>224</v>
      </c>
      <c r="G106" s="8">
        <f t="shared" si="40"/>
        <v>41</v>
      </c>
      <c r="H106" s="8">
        <f t="shared" si="40"/>
        <v>199</v>
      </c>
      <c r="I106" s="8">
        <f t="shared" si="40"/>
        <v>1562</v>
      </c>
      <c r="J106" s="8">
        <f t="shared" si="40"/>
        <v>179</v>
      </c>
      <c r="K106" s="8">
        <f t="shared" si="40"/>
        <v>310</v>
      </c>
      <c r="L106" s="8">
        <f t="shared" si="40"/>
        <v>15</v>
      </c>
      <c r="M106" s="8">
        <f t="shared" si="40"/>
        <v>23</v>
      </c>
      <c r="N106" s="8">
        <f t="shared" si="40"/>
        <v>15724</v>
      </c>
      <c r="O106" s="8">
        <f t="shared" si="40"/>
        <v>7628.5</v>
      </c>
      <c r="P106" s="196">
        <f t="shared" si="34"/>
        <v>-2.9580843744341844E-2</v>
      </c>
      <c r="Q106" s="196">
        <f t="shared" si="37"/>
        <v>-5.1800036181631794E-2</v>
      </c>
      <c r="R106" s="22"/>
      <c r="S106" s="143">
        <f>SUM(S94:S105)</f>
        <v>-1307</v>
      </c>
      <c r="T106" s="143">
        <f>SUM(T94:T105)</f>
        <v>-859</v>
      </c>
      <c r="V106" s="12">
        <f>SUM(V94:V105)</f>
        <v>44184</v>
      </c>
      <c r="W106" s="12">
        <f>SUM(W94:W105)</f>
        <v>16583</v>
      </c>
    </row>
    <row r="107" spans="1:23" ht="13.65" customHeight="1" x14ac:dyDescent="0.3">
      <c r="A107" s="5" t="s">
        <v>93</v>
      </c>
      <c r="B107" s="9">
        <v>44184</v>
      </c>
      <c r="C107" s="9">
        <v>12499</v>
      </c>
      <c r="D107" s="9">
        <v>1244</v>
      </c>
      <c r="E107" s="9">
        <v>46</v>
      </c>
      <c r="F107" s="9">
        <v>214</v>
      </c>
      <c r="G107" s="9">
        <v>47</v>
      </c>
      <c r="H107" s="9">
        <v>208</v>
      </c>
      <c r="I107" s="9">
        <v>1541</v>
      </c>
      <c r="J107" s="9">
        <v>245</v>
      </c>
      <c r="K107" s="9">
        <v>527</v>
      </c>
      <c r="L107" s="9">
        <v>12</v>
      </c>
      <c r="M107" s="9">
        <v>34</v>
      </c>
      <c r="N107" s="9">
        <v>16583</v>
      </c>
      <c r="O107" s="9">
        <v>5916</v>
      </c>
      <c r="P107" s="17">
        <v>9.227957971676564E-3</v>
      </c>
      <c r="Q107" s="17">
        <v>-2.3897816234033788E-2</v>
      </c>
      <c r="R107" s="22"/>
      <c r="S107" s="197"/>
      <c r="T107" s="197"/>
    </row>
    <row r="108" spans="1:23" ht="13.65" customHeight="1" x14ac:dyDescent="0.3">
      <c r="A108" s="5" t="s">
        <v>23</v>
      </c>
      <c r="B108" s="9">
        <f t="shared" ref="B108:K108" si="41">B106-B107</f>
        <v>-1307</v>
      </c>
      <c r="C108" s="9">
        <f t="shared" si="41"/>
        <v>-477</v>
      </c>
      <c r="D108" s="9">
        <f t="shared" si="41"/>
        <v>-105</v>
      </c>
      <c r="E108" s="9">
        <f t="shared" si="41"/>
        <v>-13</v>
      </c>
      <c r="F108" s="9">
        <f t="shared" si="41"/>
        <v>10</v>
      </c>
      <c r="G108" s="9">
        <f t="shared" si="41"/>
        <v>-6</v>
      </c>
      <c r="H108" s="9">
        <f t="shared" si="41"/>
        <v>-9</v>
      </c>
      <c r="I108" s="9">
        <f t="shared" si="41"/>
        <v>21</v>
      </c>
      <c r="J108" s="9">
        <f t="shared" si="41"/>
        <v>-66</v>
      </c>
      <c r="K108" s="9">
        <f t="shared" si="41"/>
        <v>-217</v>
      </c>
      <c r="L108" s="9">
        <f>L106-L107</f>
        <v>3</v>
      </c>
      <c r="M108" s="30">
        <f t="shared" ref="M108:O108" si="42">M106-M107</f>
        <v>-11</v>
      </c>
      <c r="N108" s="9">
        <f t="shared" si="42"/>
        <v>-859</v>
      </c>
      <c r="O108" s="9">
        <f t="shared" si="42"/>
        <v>1712.5</v>
      </c>
      <c r="P108" s="19"/>
      <c r="Q108" s="19"/>
      <c r="R108" s="22"/>
      <c r="S108" s="197"/>
      <c r="T108" s="197"/>
    </row>
    <row r="109" spans="1:23" ht="13.65" customHeight="1" x14ac:dyDescent="0.25">
      <c r="P109" s="22"/>
      <c r="Q109" s="22"/>
      <c r="R109" s="22"/>
      <c r="S109" s="22"/>
      <c r="T109" s="22"/>
    </row>
    <row r="110" spans="1:23" ht="13.65" customHeight="1" x14ac:dyDescent="0.25">
      <c r="P110" s="22"/>
      <c r="Q110" s="22"/>
      <c r="R110" s="22"/>
      <c r="S110" s="22"/>
      <c r="T110" s="22"/>
    </row>
    <row r="111" spans="1:23" ht="13.65" customHeight="1" x14ac:dyDescent="0.25">
      <c r="P111" s="22"/>
      <c r="Q111" s="22"/>
      <c r="R111" s="22"/>
      <c r="S111" s="22"/>
      <c r="T111" s="22"/>
    </row>
    <row r="112" spans="1:23" ht="13.65" customHeight="1" x14ac:dyDescent="0.25">
      <c r="P112" s="22"/>
      <c r="Q112" s="22"/>
      <c r="R112" s="22"/>
      <c r="S112" s="22"/>
      <c r="T112" s="22"/>
    </row>
    <row r="113" spans="1:23" ht="13.65" customHeight="1" x14ac:dyDescent="0.25">
      <c r="P113" s="22"/>
      <c r="Q113" s="22"/>
      <c r="R113" s="22"/>
      <c r="S113" s="22"/>
      <c r="T113" s="22"/>
    </row>
    <row r="114" spans="1:23" ht="13.65" customHeight="1" x14ac:dyDescent="0.3">
      <c r="A114" s="1" t="s">
        <v>0</v>
      </c>
      <c r="B114" s="2" t="s">
        <v>1</v>
      </c>
      <c r="C114" s="2" t="s">
        <v>2</v>
      </c>
      <c r="D114" s="2" t="s">
        <v>3</v>
      </c>
      <c r="E114" s="2" t="s">
        <v>4</v>
      </c>
      <c r="F114" s="96" t="s">
        <v>5</v>
      </c>
      <c r="G114" s="96" t="s">
        <v>45</v>
      </c>
      <c r="H114" s="123" t="s">
        <v>46</v>
      </c>
      <c r="I114" s="124" t="s">
        <v>48</v>
      </c>
      <c r="J114" s="2" t="s">
        <v>47</v>
      </c>
      <c r="K114" s="75" t="s">
        <v>91</v>
      </c>
      <c r="L114" s="2" t="s">
        <v>6</v>
      </c>
      <c r="M114" s="33" t="s">
        <v>7</v>
      </c>
      <c r="N114" s="1" t="s">
        <v>8</v>
      </c>
      <c r="O114" s="2" t="s">
        <v>10</v>
      </c>
      <c r="P114" s="2" t="s">
        <v>1</v>
      </c>
      <c r="Q114" s="6" t="s">
        <v>9</v>
      </c>
      <c r="R114" s="22"/>
      <c r="S114" s="101" t="s">
        <v>103</v>
      </c>
      <c r="T114" s="101" t="s">
        <v>104</v>
      </c>
      <c r="U114" s="102"/>
      <c r="V114" s="101" t="s">
        <v>94</v>
      </c>
      <c r="W114" s="101" t="s">
        <v>95</v>
      </c>
    </row>
    <row r="115" spans="1:23" ht="13.65" customHeight="1" x14ac:dyDescent="0.25">
      <c r="A115" t="s">
        <v>11</v>
      </c>
      <c r="B115" s="10"/>
      <c r="C115" s="10"/>
      <c r="D115" s="10"/>
      <c r="E115" s="10"/>
      <c r="F115" s="10"/>
      <c r="G115" s="10"/>
      <c r="H115" s="10"/>
      <c r="I115" s="10"/>
      <c r="J115" s="10"/>
      <c r="K115" s="10"/>
      <c r="L115" s="10"/>
      <c r="M115" s="10"/>
      <c r="N115" s="10">
        <v>0</v>
      </c>
      <c r="O115" s="10"/>
      <c r="P115" s="188"/>
      <c r="Q115" s="179"/>
      <c r="R115" s="22"/>
      <c r="S115" s="143"/>
      <c r="T115" s="143"/>
    </row>
    <row r="116" spans="1:23" ht="13.65" customHeight="1" x14ac:dyDescent="0.25">
      <c r="A116" t="s">
        <v>12</v>
      </c>
      <c r="B116" s="10"/>
      <c r="C116" s="10"/>
      <c r="D116" s="10"/>
      <c r="E116" s="10"/>
      <c r="F116" s="10"/>
      <c r="G116" s="10"/>
      <c r="H116" s="10"/>
      <c r="I116" s="10"/>
      <c r="J116" s="10"/>
      <c r="K116" s="10"/>
      <c r="L116" s="10"/>
      <c r="M116" s="10"/>
      <c r="N116" s="10">
        <f>SUM(C116:L116)</f>
        <v>0</v>
      </c>
      <c r="O116" s="10"/>
      <c r="P116" s="188"/>
      <c r="Q116" s="181"/>
      <c r="R116" s="22"/>
      <c r="S116" s="143"/>
      <c r="T116" s="143"/>
    </row>
    <row r="117" spans="1:23" ht="13.65" customHeight="1" x14ac:dyDescent="0.25">
      <c r="A117" t="s">
        <v>13</v>
      </c>
      <c r="B117" s="10"/>
      <c r="C117" s="10"/>
      <c r="D117" s="10"/>
      <c r="E117" s="10"/>
      <c r="F117" s="10"/>
      <c r="G117" s="10"/>
      <c r="H117" s="10"/>
      <c r="I117" s="10"/>
      <c r="J117" s="10"/>
      <c r="K117" s="10"/>
      <c r="L117" s="10"/>
      <c r="M117" s="10"/>
      <c r="N117" s="10">
        <v>0</v>
      </c>
      <c r="O117" s="10"/>
      <c r="P117" s="188"/>
      <c r="Q117" s="181"/>
      <c r="R117" s="22"/>
      <c r="S117" s="143"/>
      <c r="T117" s="143"/>
    </row>
    <row r="118" spans="1:23" ht="13.65" customHeight="1" x14ac:dyDescent="0.25">
      <c r="A118" t="s">
        <v>14</v>
      </c>
      <c r="B118" s="10">
        <v>689</v>
      </c>
      <c r="C118" s="10">
        <v>217</v>
      </c>
      <c r="D118" s="10">
        <v>15</v>
      </c>
      <c r="E118" s="10">
        <v>0</v>
      </c>
      <c r="F118" s="10">
        <v>3</v>
      </c>
      <c r="G118" s="10">
        <v>0</v>
      </c>
      <c r="H118" s="10">
        <v>3</v>
      </c>
      <c r="I118" s="10">
        <v>1</v>
      </c>
      <c r="J118" s="10">
        <v>0</v>
      </c>
      <c r="K118" s="10">
        <v>0</v>
      </c>
      <c r="L118" s="10">
        <v>19</v>
      </c>
      <c r="M118" s="10">
        <v>0</v>
      </c>
      <c r="N118" s="10">
        <v>0</v>
      </c>
      <c r="O118" s="10">
        <v>182</v>
      </c>
      <c r="P118" s="188"/>
      <c r="Q118" s="181"/>
      <c r="R118" s="22" t="s">
        <v>118</v>
      </c>
      <c r="S118" s="143"/>
      <c r="T118" s="143"/>
    </row>
    <row r="119" spans="1:23" ht="13.65" customHeight="1" x14ac:dyDescent="0.3">
      <c r="A119" t="s">
        <v>15</v>
      </c>
      <c r="B119" s="10">
        <v>2089</v>
      </c>
      <c r="C119" s="10">
        <v>603</v>
      </c>
      <c r="D119" s="10">
        <v>16</v>
      </c>
      <c r="E119" s="10">
        <v>0</v>
      </c>
      <c r="F119" s="10">
        <v>10</v>
      </c>
      <c r="G119" s="10">
        <v>2</v>
      </c>
      <c r="H119" s="10">
        <v>5</v>
      </c>
      <c r="I119" s="10">
        <v>11</v>
      </c>
      <c r="J119" s="10">
        <v>13</v>
      </c>
      <c r="K119" s="10">
        <v>0</v>
      </c>
      <c r="L119" s="10">
        <v>0</v>
      </c>
      <c r="M119" s="31">
        <v>0</v>
      </c>
      <c r="N119" s="10">
        <f>SUM(C119:L119)</f>
        <v>660</v>
      </c>
      <c r="O119" s="10">
        <v>264</v>
      </c>
      <c r="P119" s="188"/>
      <c r="Q119" s="181"/>
      <c r="R119" s="22"/>
      <c r="S119" s="143"/>
      <c r="T119" s="143"/>
    </row>
    <row r="120" spans="1:23" ht="13.65" customHeight="1" x14ac:dyDescent="0.25">
      <c r="A120" t="s">
        <v>16</v>
      </c>
      <c r="B120" s="102">
        <v>1789</v>
      </c>
      <c r="C120" s="102">
        <v>492</v>
      </c>
      <c r="D120" s="102">
        <v>33</v>
      </c>
      <c r="E120" s="102">
        <v>0</v>
      </c>
      <c r="F120" s="102">
        <v>0</v>
      </c>
      <c r="G120" s="102">
        <v>1</v>
      </c>
      <c r="H120" s="102">
        <v>9</v>
      </c>
      <c r="I120" s="102">
        <v>78</v>
      </c>
      <c r="J120" s="102">
        <v>4</v>
      </c>
      <c r="K120" s="102">
        <v>0</v>
      </c>
      <c r="L120" s="102">
        <v>0</v>
      </c>
      <c r="M120" s="102">
        <v>1</v>
      </c>
      <c r="N120" s="10">
        <f>SUM(C120:L120)</f>
        <v>617</v>
      </c>
      <c r="O120" s="10">
        <v>396</v>
      </c>
      <c r="P120" s="188">
        <f>S120/V120</f>
        <v>-2.4536532170119956E-2</v>
      </c>
      <c r="Q120" s="181">
        <f>T120/W120</f>
        <v>-3.9688715953307391E-2</v>
      </c>
      <c r="R120" s="22"/>
      <c r="S120" s="143">
        <f>B120-V120</f>
        <v>-45</v>
      </c>
      <c r="T120" s="143">
        <f>N120-W120</f>
        <v>-25.5</v>
      </c>
      <c r="V120" s="12">
        <f>B53</f>
        <v>1834</v>
      </c>
      <c r="W120" s="12">
        <f>N53</f>
        <v>642.5</v>
      </c>
    </row>
    <row r="121" spans="1:23" ht="13.65" customHeight="1" x14ac:dyDescent="0.25">
      <c r="A121" t="s">
        <v>17</v>
      </c>
      <c r="B121" s="102">
        <v>6443</v>
      </c>
      <c r="C121" s="102">
        <v>1419</v>
      </c>
      <c r="D121" s="102">
        <v>71</v>
      </c>
      <c r="E121" s="102">
        <v>4</v>
      </c>
      <c r="F121" s="102">
        <v>3</v>
      </c>
      <c r="G121" s="102">
        <v>6</v>
      </c>
      <c r="H121" s="102">
        <v>60</v>
      </c>
      <c r="I121" s="102">
        <v>615</v>
      </c>
      <c r="J121" s="102">
        <v>54</v>
      </c>
      <c r="K121" s="102">
        <v>0</v>
      </c>
      <c r="L121" s="102">
        <v>8</v>
      </c>
      <c r="M121" s="102">
        <v>1</v>
      </c>
      <c r="N121" s="10">
        <f>SUM(C121:L121)</f>
        <v>2240</v>
      </c>
      <c r="O121" s="10">
        <v>852</v>
      </c>
      <c r="P121" s="188">
        <f>S121/V121</f>
        <v>0.13433098591549295</v>
      </c>
      <c r="Q121" s="181">
        <f t="shared" ref="Q121:Q122" si="43">T121/W121</f>
        <v>0.10019646365422397</v>
      </c>
      <c r="R121" s="22"/>
      <c r="S121" s="143">
        <f>B121-V121</f>
        <v>763</v>
      </c>
      <c r="T121" s="143">
        <f>N121-W121</f>
        <v>204</v>
      </c>
      <c r="V121" s="12">
        <f t="shared" ref="V121:V122" si="44">B54</f>
        <v>5680</v>
      </c>
      <c r="W121" s="12">
        <f>N54</f>
        <v>2036</v>
      </c>
    </row>
    <row r="122" spans="1:23" ht="13.65" customHeight="1" x14ac:dyDescent="0.25">
      <c r="A122" t="s">
        <v>18</v>
      </c>
      <c r="B122" s="10">
        <v>1891</v>
      </c>
      <c r="C122" s="10">
        <v>453</v>
      </c>
      <c r="D122" s="10">
        <v>26</v>
      </c>
      <c r="E122" s="10">
        <v>3</v>
      </c>
      <c r="F122" s="10">
        <v>1</v>
      </c>
      <c r="G122" s="10">
        <v>4</v>
      </c>
      <c r="H122" s="10">
        <v>7</v>
      </c>
      <c r="I122" s="10">
        <v>159</v>
      </c>
      <c r="J122" s="10">
        <v>17</v>
      </c>
      <c r="K122" s="10">
        <v>0</v>
      </c>
      <c r="L122" s="10">
        <v>1</v>
      </c>
      <c r="M122" s="102">
        <v>1</v>
      </c>
      <c r="N122" s="10">
        <f>SUM(C122:L122)</f>
        <v>671</v>
      </c>
      <c r="O122" s="10">
        <v>312</v>
      </c>
      <c r="P122" s="188">
        <f t="shared" ref="P122" si="45">S122/V122</f>
        <v>-0.21470099667774087</v>
      </c>
      <c r="Q122" s="181">
        <f t="shared" si="43"/>
        <v>-0.15809284818067754</v>
      </c>
      <c r="R122" s="22"/>
      <c r="S122" s="143">
        <f>B122-V122</f>
        <v>-517</v>
      </c>
      <c r="T122" s="143">
        <f>N122-W122</f>
        <v>-126</v>
      </c>
      <c r="V122" s="12">
        <f t="shared" si="44"/>
        <v>2408</v>
      </c>
      <c r="W122" s="12">
        <f>N55</f>
        <v>797</v>
      </c>
    </row>
    <row r="123" spans="1:23" ht="13.65" customHeight="1" x14ac:dyDescent="0.3">
      <c r="A123" t="s">
        <v>19</v>
      </c>
      <c r="B123" s="10"/>
      <c r="C123" s="10"/>
      <c r="D123" s="10"/>
      <c r="E123" s="10"/>
      <c r="F123" s="10"/>
      <c r="G123" s="10"/>
      <c r="H123" s="10"/>
      <c r="I123" s="10"/>
      <c r="J123" s="10"/>
      <c r="K123" s="10"/>
      <c r="L123" s="10"/>
      <c r="M123" s="31"/>
      <c r="N123" s="62">
        <f>SUM(C123:L123)</f>
        <v>0</v>
      </c>
      <c r="O123" s="10"/>
      <c r="P123" s="188"/>
      <c r="Q123" s="181"/>
      <c r="R123" s="22"/>
      <c r="S123" s="143"/>
      <c r="T123" s="143"/>
    </row>
    <row r="124" spans="1:23" ht="13.65" customHeight="1" x14ac:dyDescent="0.3">
      <c r="A124" t="s">
        <v>20</v>
      </c>
      <c r="B124" s="10"/>
      <c r="C124" s="10"/>
      <c r="D124" s="10"/>
      <c r="E124" s="10"/>
      <c r="J124" s="10"/>
      <c r="K124" s="10"/>
      <c r="L124" s="10"/>
      <c r="M124" s="31"/>
      <c r="N124" s="62">
        <f t="shared" ref="N124:N126" si="46">SUM(C124:L124)</f>
        <v>0</v>
      </c>
      <c r="O124" s="10"/>
      <c r="P124" s="188"/>
      <c r="Q124" s="181"/>
      <c r="R124" s="22"/>
      <c r="S124" s="143"/>
      <c r="T124" s="143"/>
    </row>
    <row r="125" spans="1:23" ht="13.65" customHeight="1" x14ac:dyDescent="0.3">
      <c r="A125" t="s">
        <v>21</v>
      </c>
      <c r="B125" s="10"/>
      <c r="C125" s="10"/>
      <c r="D125" s="10"/>
      <c r="E125" s="10"/>
      <c r="J125" s="10"/>
      <c r="K125" s="10"/>
      <c r="L125" s="10"/>
      <c r="M125" s="31"/>
      <c r="N125" s="62">
        <f t="shared" si="46"/>
        <v>0</v>
      </c>
      <c r="O125" s="10"/>
      <c r="P125" s="188"/>
      <c r="Q125" s="181"/>
      <c r="R125" s="22"/>
      <c r="S125" s="143"/>
      <c r="T125" s="143"/>
    </row>
    <row r="126" spans="1:23" ht="13.65" customHeight="1" x14ac:dyDescent="0.3">
      <c r="A126" s="4" t="s">
        <v>22</v>
      </c>
      <c r="B126" s="11"/>
      <c r="C126" s="11"/>
      <c r="D126" s="11"/>
      <c r="E126" s="11"/>
      <c r="F126" s="4"/>
      <c r="G126" s="4"/>
      <c r="H126" s="4"/>
      <c r="I126" s="4"/>
      <c r="J126" s="11"/>
      <c r="K126" s="11"/>
      <c r="L126" s="11"/>
      <c r="M126" s="30"/>
      <c r="N126" s="11">
        <f t="shared" si="46"/>
        <v>0</v>
      </c>
      <c r="O126" s="11"/>
      <c r="P126" s="189"/>
      <c r="Q126" s="184"/>
      <c r="R126" s="22"/>
      <c r="S126" s="169"/>
      <c r="T126" s="169"/>
      <c r="V126" s="4"/>
      <c r="W126" s="4"/>
    </row>
    <row r="127" spans="1:23" ht="13.65" customHeight="1" x14ac:dyDescent="0.3">
      <c r="A127" s="3" t="s">
        <v>106</v>
      </c>
      <c r="B127" s="8">
        <f t="shared" ref="B127:O127" si="47">SUM(B115:B126)</f>
        <v>12901</v>
      </c>
      <c r="C127" s="8">
        <f t="shared" si="47"/>
        <v>3184</v>
      </c>
      <c r="D127" s="8">
        <f t="shared" si="47"/>
        <v>161</v>
      </c>
      <c r="E127" s="8">
        <f t="shared" si="47"/>
        <v>7</v>
      </c>
      <c r="F127" s="8">
        <f t="shared" si="47"/>
        <v>17</v>
      </c>
      <c r="G127" s="8">
        <f t="shared" si="47"/>
        <v>13</v>
      </c>
      <c r="H127" s="8">
        <f t="shared" si="47"/>
        <v>84</v>
      </c>
      <c r="I127" s="8">
        <f t="shared" si="47"/>
        <v>864</v>
      </c>
      <c r="J127" s="8">
        <f t="shared" si="47"/>
        <v>88</v>
      </c>
      <c r="K127" s="8">
        <f t="shared" si="47"/>
        <v>0</v>
      </c>
      <c r="L127" s="8">
        <f t="shared" si="47"/>
        <v>28</v>
      </c>
      <c r="M127" s="31">
        <f t="shared" si="47"/>
        <v>3</v>
      </c>
      <c r="N127" s="8">
        <f t="shared" si="47"/>
        <v>4188</v>
      </c>
      <c r="O127" s="8">
        <f t="shared" si="47"/>
        <v>2006</v>
      </c>
      <c r="P127" s="186">
        <f>S127/V127</f>
        <v>2.0258012497480347E-2</v>
      </c>
      <c r="Q127" s="187">
        <f>T127/W127</f>
        <v>1.5105740181268883E-2</v>
      </c>
      <c r="R127" s="22"/>
      <c r="S127" s="143">
        <f>SUM(S120:S122)</f>
        <v>201</v>
      </c>
      <c r="T127" s="143">
        <f>SUM(T120:T122)</f>
        <v>52.5</v>
      </c>
      <c r="V127" s="12">
        <f>SUM(V120:V122)</f>
        <v>9922</v>
      </c>
      <c r="W127" s="12">
        <f>SUM(W120:W122)</f>
        <v>3475.5</v>
      </c>
    </row>
    <row r="128" spans="1:23" ht="13.65" customHeight="1" x14ac:dyDescent="0.3">
      <c r="A128" s="5" t="s">
        <v>93</v>
      </c>
      <c r="B128" s="9">
        <v>9922</v>
      </c>
      <c r="C128" s="9">
        <v>2122</v>
      </c>
      <c r="D128" s="9">
        <v>107</v>
      </c>
      <c r="E128" s="9">
        <v>14</v>
      </c>
      <c r="F128" s="9">
        <v>28.5</v>
      </c>
      <c r="G128" s="9">
        <v>8</v>
      </c>
      <c r="H128" s="9">
        <v>64</v>
      </c>
      <c r="I128" s="9">
        <v>917</v>
      </c>
      <c r="J128" s="9">
        <v>111</v>
      </c>
      <c r="K128" s="9">
        <v>0</v>
      </c>
      <c r="L128" s="9">
        <v>104</v>
      </c>
      <c r="M128" s="9">
        <v>1</v>
      </c>
      <c r="N128" s="9">
        <v>3475.5</v>
      </c>
      <c r="O128" s="9">
        <v>765.5</v>
      </c>
      <c r="P128" s="249">
        <v>9.0789871885403009E-4</v>
      </c>
      <c r="Q128" s="250">
        <v>-3.2433184855233853E-2</v>
      </c>
      <c r="R128" s="22"/>
      <c r="S128" s="143"/>
      <c r="T128" s="143"/>
    </row>
    <row r="129" spans="1:23" ht="13.65" customHeight="1" x14ac:dyDescent="0.3">
      <c r="A129" s="5" t="s">
        <v>23</v>
      </c>
      <c r="B129" s="9">
        <f t="shared" ref="B129:O129" si="48">B127-B128</f>
        <v>2979</v>
      </c>
      <c r="C129" s="9">
        <f t="shared" si="48"/>
        <v>1062</v>
      </c>
      <c r="D129" s="9">
        <f t="shared" si="48"/>
        <v>54</v>
      </c>
      <c r="E129" s="9">
        <f t="shared" si="48"/>
        <v>-7</v>
      </c>
      <c r="F129" s="9">
        <f t="shared" si="48"/>
        <v>-11.5</v>
      </c>
      <c r="G129" s="9">
        <f t="shared" si="48"/>
        <v>5</v>
      </c>
      <c r="H129" s="9">
        <f t="shared" si="48"/>
        <v>20</v>
      </c>
      <c r="I129" s="9">
        <f t="shared" si="48"/>
        <v>-53</v>
      </c>
      <c r="J129" s="9">
        <f t="shared" si="48"/>
        <v>-23</v>
      </c>
      <c r="K129" s="9">
        <f t="shared" si="48"/>
        <v>0</v>
      </c>
      <c r="L129" s="9">
        <f t="shared" si="48"/>
        <v>-76</v>
      </c>
      <c r="M129" s="30">
        <f t="shared" si="48"/>
        <v>2</v>
      </c>
      <c r="N129" s="9">
        <f t="shared" si="48"/>
        <v>712.5</v>
      </c>
      <c r="O129" s="9">
        <f t="shared" si="48"/>
        <v>1240.5</v>
      </c>
      <c r="P129" s="19"/>
      <c r="Q129" s="121"/>
      <c r="R129" s="22"/>
      <c r="S129" s="22"/>
      <c r="T129" s="22"/>
    </row>
    <row r="131" spans="1:23" ht="13.65" customHeight="1" thickBot="1" x14ac:dyDescent="0.3"/>
    <row r="132" spans="1:23" ht="13.65" customHeight="1" x14ac:dyDescent="0.25">
      <c r="B132" s="368"/>
      <c r="C132" s="369"/>
      <c r="D132" s="369"/>
      <c r="E132" s="369"/>
      <c r="F132" s="369"/>
      <c r="G132" s="369"/>
      <c r="H132" s="369"/>
      <c r="I132" s="369"/>
      <c r="J132" s="369"/>
      <c r="K132" s="370"/>
    </row>
    <row r="133" spans="1:23" ht="18" x14ac:dyDescent="0.25">
      <c r="B133" s="371"/>
      <c r="C133" s="3" t="s">
        <v>170</v>
      </c>
      <c r="F133" s="335" t="s">
        <v>171</v>
      </c>
      <c r="K133" s="372"/>
    </row>
    <row r="134" spans="1:23" ht="13.65" customHeight="1" thickBot="1" x14ac:dyDescent="0.3">
      <c r="B134" s="373"/>
      <c r="C134" s="374"/>
      <c r="D134" s="374"/>
      <c r="E134" s="374"/>
      <c r="F134" s="374"/>
      <c r="G134" s="374"/>
      <c r="H134" s="374"/>
      <c r="I134" s="374"/>
      <c r="J134" s="374"/>
      <c r="K134" s="375"/>
    </row>
    <row r="136" spans="1:23" ht="13.65" customHeight="1" x14ac:dyDescent="0.3">
      <c r="A136" s="122" t="s">
        <v>0</v>
      </c>
      <c r="B136" s="26" t="s">
        <v>1</v>
      </c>
      <c r="C136" s="26" t="s">
        <v>2</v>
      </c>
      <c r="D136" s="26" t="s">
        <v>3</v>
      </c>
      <c r="E136" s="26" t="s">
        <v>4</v>
      </c>
      <c r="F136" s="26" t="s">
        <v>5</v>
      </c>
      <c r="G136" s="26" t="s">
        <v>45</v>
      </c>
      <c r="H136" s="26" t="s">
        <v>46</v>
      </c>
      <c r="I136" s="26" t="s">
        <v>48</v>
      </c>
      <c r="J136" s="26" t="s">
        <v>47</v>
      </c>
      <c r="K136" s="26" t="s">
        <v>91</v>
      </c>
      <c r="L136" s="26" t="s">
        <v>6</v>
      </c>
      <c r="M136" s="393" t="s">
        <v>7</v>
      </c>
      <c r="N136" s="122" t="s">
        <v>8</v>
      </c>
      <c r="O136" s="26" t="s">
        <v>10</v>
      </c>
      <c r="P136" s="26" t="s">
        <v>1</v>
      </c>
      <c r="Q136" s="26" t="s">
        <v>9</v>
      </c>
      <c r="S136" s="101" t="s">
        <v>129</v>
      </c>
      <c r="T136" s="101" t="s">
        <v>130</v>
      </c>
      <c r="U136" s="102"/>
      <c r="V136" s="101" t="s">
        <v>103</v>
      </c>
      <c r="W136" s="101" t="s">
        <v>104</v>
      </c>
    </row>
    <row r="137" spans="1:23" ht="13.65" customHeight="1" x14ac:dyDescent="0.3">
      <c r="A137" t="s">
        <v>11</v>
      </c>
      <c r="B137" s="10">
        <v>1980</v>
      </c>
      <c r="C137" s="10">
        <v>678</v>
      </c>
      <c r="D137" s="10">
        <v>38</v>
      </c>
      <c r="E137" s="10">
        <v>0</v>
      </c>
      <c r="F137" s="10">
        <v>6</v>
      </c>
      <c r="G137" s="10">
        <v>0</v>
      </c>
      <c r="H137" s="10">
        <v>0</v>
      </c>
      <c r="I137" s="10">
        <v>0</v>
      </c>
      <c r="J137" s="10">
        <v>0</v>
      </c>
      <c r="K137" s="10">
        <v>0</v>
      </c>
      <c r="L137" s="10">
        <v>1</v>
      </c>
      <c r="M137" s="31">
        <v>0</v>
      </c>
      <c r="N137" s="10">
        <f>SUM(C137:L137)</f>
        <v>723</v>
      </c>
      <c r="O137" s="394">
        <v>497</v>
      </c>
      <c r="P137" s="395">
        <f t="shared" ref="P137:Q149" si="49">S137/V137</f>
        <v>8.3743842364532015E-2</v>
      </c>
      <c r="Q137" s="396">
        <f t="shared" si="49"/>
        <v>-6.868131868131868E-3</v>
      </c>
      <c r="S137" s="143">
        <f t="shared" ref="S137:S148" si="50">B137-V137</f>
        <v>153</v>
      </c>
      <c r="T137" s="143">
        <f t="shared" ref="T137:T148" si="51">N137-W137</f>
        <v>-5</v>
      </c>
      <c r="V137" s="12">
        <v>1827</v>
      </c>
      <c r="W137" s="12">
        <v>728</v>
      </c>
    </row>
    <row r="138" spans="1:23" ht="13.65" customHeight="1" x14ac:dyDescent="0.3">
      <c r="A138" t="s">
        <v>12</v>
      </c>
      <c r="B138" s="10">
        <v>1864</v>
      </c>
      <c r="C138" s="10">
        <v>614</v>
      </c>
      <c r="D138" s="10">
        <v>34</v>
      </c>
      <c r="E138" s="10">
        <v>0</v>
      </c>
      <c r="F138" s="10">
        <v>6</v>
      </c>
      <c r="G138" s="10">
        <v>0</v>
      </c>
      <c r="H138" s="10">
        <v>0</v>
      </c>
      <c r="I138" s="14">
        <v>0</v>
      </c>
      <c r="J138" s="10">
        <v>0</v>
      </c>
      <c r="K138" s="10">
        <v>0</v>
      </c>
      <c r="L138" s="10">
        <v>0</v>
      </c>
      <c r="M138" s="31">
        <v>0</v>
      </c>
      <c r="N138" s="10">
        <f>SUM(C138:L138)</f>
        <v>654</v>
      </c>
      <c r="O138" s="10">
        <v>465</v>
      </c>
      <c r="P138" s="395">
        <f t="shared" si="49"/>
        <v>6.9420539300057371E-2</v>
      </c>
      <c r="Q138" s="396">
        <f t="shared" si="49"/>
        <v>3.1545741324921134E-2</v>
      </c>
      <c r="S138" s="143">
        <f t="shared" si="50"/>
        <v>121</v>
      </c>
      <c r="T138" s="143">
        <f t="shared" si="51"/>
        <v>20</v>
      </c>
      <c r="V138" s="12">
        <v>1743</v>
      </c>
      <c r="W138" s="12">
        <v>634</v>
      </c>
    </row>
    <row r="139" spans="1:23" ht="13.65" customHeight="1" x14ac:dyDescent="0.3">
      <c r="A139" t="s">
        <v>13</v>
      </c>
      <c r="B139" s="10">
        <v>2243</v>
      </c>
      <c r="C139" s="10">
        <v>760</v>
      </c>
      <c r="D139" s="10">
        <v>41</v>
      </c>
      <c r="E139" s="10">
        <v>0</v>
      </c>
      <c r="F139" s="10">
        <v>12</v>
      </c>
      <c r="G139" s="10">
        <v>0</v>
      </c>
      <c r="H139" s="10">
        <v>5</v>
      </c>
      <c r="I139" s="14">
        <v>0</v>
      </c>
      <c r="J139" s="10">
        <v>2</v>
      </c>
      <c r="K139" s="10">
        <v>0</v>
      </c>
      <c r="L139" s="10">
        <v>186</v>
      </c>
      <c r="M139" s="31">
        <v>0</v>
      </c>
      <c r="N139" s="10">
        <f>SUM(C139:L139)</f>
        <v>1006</v>
      </c>
      <c r="O139" s="10">
        <v>778</v>
      </c>
      <c r="P139" s="395">
        <f t="shared" si="49"/>
        <v>0.17434554973821989</v>
      </c>
      <c r="Q139" s="396">
        <f t="shared" si="49"/>
        <v>0.3991655076495132</v>
      </c>
      <c r="S139" s="143">
        <f t="shared" si="50"/>
        <v>333</v>
      </c>
      <c r="T139" s="143">
        <f t="shared" si="51"/>
        <v>287</v>
      </c>
      <c r="V139" s="12">
        <v>1910</v>
      </c>
      <c r="W139" s="12">
        <v>719</v>
      </c>
    </row>
    <row r="140" spans="1:23" ht="13.65" customHeight="1" x14ac:dyDescent="0.3">
      <c r="A140" t="s">
        <v>14</v>
      </c>
      <c r="B140" s="10">
        <v>3311</v>
      </c>
      <c r="C140" s="10">
        <v>1036</v>
      </c>
      <c r="D140" s="10">
        <v>46</v>
      </c>
      <c r="E140" s="10">
        <v>1</v>
      </c>
      <c r="F140" s="10">
        <v>14</v>
      </c>
      <c r="G140" s="10">
        <v>0</v>
      </c>
      <c r="H140" s="10">
        <v>6</v>
      </c>
      <c r="I140" s="14">
        <v>11</v>
      </c>
      <c r="J140" s="10">
        <v>2</v>
      </c>
      <c r="K140" s="10">
        <v>0</v>
      </c>
      <c r="L140" s="10">
        <v>0</v>
      </c>
      <c r="M140" s="31">
        <v>0</v>
      </c>
      <c r="N140" s="10">
        <f>SUM(C140:L140)</f>
        <v>1116</v>
      </c>
      <c r="O140" s="10">
        <v>974</v>
      </c>
      <c r="P140" s="395">
        <f t="shared" si="49"/>
        <v>0.56548463356973999</v>
      </c>
      <c r="Q140" s="396">
        <f t="shared" si="49"/>
        <v>0.4781456953642384</v>
      </c>
      <c r="S140" s="143">
        <f t="shared" si="50"/>
        <v>1196</v>
      </c>
      <c r="T140" s="143">
        <f t="shared" si="51"/>
        <v>361</v>
      </c>
      <c r="V140" s="12">
        <v>2115</v>
      </c>
      <c r="W140" s="12">
        <v>755</v>
      </c>
    </row>
    <row r="141" spans="1:23" ht="13.65" customHeight="1" x14ac:dyDescent="0.3">
      <c r="A141" t="s">
        <v>15</v>
      </c>
      <c r="B141" s="10">
        <f>1666+1250</f>
        <v>2916</v>
      </c>
      <c r="C141" s="10">
        <f>755+322</f>
        <v>1077</v>
      </c>
      <c r="D141" s="10">
        <f>22+13</f>
        <v>35</v>
      </c>
      <c r="E141" s="10">
        <f>1+2</f>
        <v>3</v>
      </c>
      <c r="F141" s="10">
        <v>5</v>
      </c>
      <c r="G141" s="10">
        <v>2</v>
      </c>
      <c r="H141" s="10">
        <f>12+14</f>
        <v>26</v>
      </c>
      <c r="I141" s="14">
        <f>11+31</f>
        <v>42</v>
      </c>
      <c r="J141" s="10">
        <v>3</v>
      </c>
      <c r="K141" s="10">
        <v>0</v>
      </c>
      <c r="L141" s="10">
        <v>23</v>
      </c>
      <c r="M141" s="31">
        <v>0</v>
      </c>
      <c r="N141" s="10">
        <f>SUM(C141:L141)</f>
        <v>1216</v>
      </c>
      <c r="O141" s="10">
        <v>482</v>
      </c>
      <c r="P141" s="395">
        <f t="shared" si="49"/>
        <v>-0.11124657116732703</v>
      </c>
      <c r="Q141" s="396">
        <f t="shared" si="49"/>
        <v>3.6658141517476553E-2</v>
      </c>
      <c r="R141" t="s">
        <v>124</v>
      </c>
      <c r="S141" s="143">
        <f t="shared" si="50"/>
        <v>-365</v>
      </c>
      <c r="T141" s="143">
        <f t="shared" si="51"/>
        <v>43</v>
      </c>
      <c r="V141" s="12">
        <v>3281</v>
      </c>
      <c r="W141" s="12">
        <v>1173</v>
      </c>
    </row>
    <row r="142" spans="1:23" ht="13.65" customHeight="1" x14ac:dyDescent="0.3">
      <c r="A142" t="s">
        <v>16</v>
      </c>
      <c r="B142" s="10">
        <v>4700</v>
      </c>
      <c r="C142" s="10">
        <v>1472</v>
      </c>
      <c r="D142" s="10">
        <v>59</v>
      </c>
      <c r="E142" s="10">
        <v>9</v>
      </c>
      <c r="F142" s="10">
        <v>17</v>
      </c>
      <c r="G142" s="10">
        <v>5</v>
      </c>
      <c r="H142" s="10">
        <v>24</v>
      </c>
      <c r="I142" s="14">
        <v>380</v>
      </c>
      <c r="J142" s="10">
        <v>35</v>
      </c>
      <c r="K142" s="10">
        <v>0</v>
      </c>
      <c r="L142" s="10">
        <v>11</v>
      </c>
      <c r="M142" s="31">
        <v>0</v>
      </c>
      <c r="N142" s="10">
        <f t="shared" ref="N142:N148" si="52">SUM(C142:L142)</f>
        <v>2012</v>
      </c>
      <c r="O142" s="10">
        <v>1207</v>
      </c>
      <c r="P142" s="395">
        <f t="shared" si="49"/>
        <v>-0.18104199337863738</v>
      </c>
      <c r="Q142" s="396">
        <f t="shared" si="49"/>
        <v>0.14383172256964183</v>
      </c>
      <c r="S142" s="143">
        <f t="shared" si="50"/>
        <v>-1039</v>
      </c>
      <c r="T142" s="143">
        <f t="shared" si="51"/>
        <v>253</v>
      </c>
      <c r="V142" s="12">
        <v>5739</v>
      </c>
      <c r="W142" s="12">
        <v>1759</v>
      </c>
    </row>
    <row r="143" spans="1:23" ht="13.65" customHeight="1" x14ac:dyDescent="0.3">
      <c r="A143" t="s">
        <v>17</v>
      </c>
      <c r="B143" s="10">
        <v>6256</v>
      </c>
      <c r="C143" s="10">
        <v>1755</v>
      </c>
      <c r="D143" s="10">
        <v>59</v>
      </c>
      <c r="E143" s="10">
        <v>4</v>
      </c>
      <c r="F143" s="10">
        <v>18</v>
      </c>
      <c r="G143" s="10">
        <v>21</v>
      </c>
      <c r="H143" s="10">
        <v>58</v>
      </c>
      <c r="I143" s="10">
        <v>772</v>
      </c>
      <c r="J143" s="10">
        <v>52</v>
      </c>
      <c r="K143" s="10">
        <v>0</v>
      </c>
      <c r="L143" s="10">
        <v>20</v>
      </c>
      <c r="M143" s="31">
        <v>0</v>
      </c>
      <c r="N143" s="10">
        <f t="shared" si="52"/>
        <v>2759</v>
      </c>
      <c r="O143" s="10">
        <v>1346</v>
      </c>
      <c r="P143" s="395">
        <f t="shared" si="49"/>
        <v>-0.18190139924153262</v>
      </c>
      <c r="Q143" s="396">
        <f t="shared" si="49"/>
        <v>0.11519805982215037</v>
      </c>
      <c r="S143" s="143">
        <f t="shared" si="50"/>
        <v>-1391</v>
      </c>
      <c r="T143" s="143">
        <f t="shared" si="51"/>
        <v>285</v>
      </c>
      <c r="V143" s="12">
        <v>7647</v>
      </c>
      <c r="W143" s="12">
        <v>2474</v>
      </c>
    </row>
    <row r="144" spans="1:23" ht="13.65" customHeight="1" x14ac:dyDescent="0.3">
      <c r="A144" t="s">
        <v>18</v>
      </c>
      <c r="B144" s="10">
        <v>6039</v>
      </c>
      <c r="C144" s="10">
        <v>1474</v>
      </c>
      <c r="D144" s="10">
        <v>41</v>
      </c>
      <c r="E144" s="10">
        <v>7</v>
      </c>
      <c r="F144" s="10">
        <v>30</v>
      </c>
      <c r="G144" s="10">
        <v>11</v>
      </c>
      <c r="H144" s="10">
        <v>36</v>
      </c>
      <c r="I144" s="14">
        <v>418</v>
      </c>
      <c r="J144" s="10">
        <v>46</v>
      </c>
      <c r="K144" s="10">
        <v>62</v>
      </c>
      <c r="L144" s="10">
        <v>15</v>
      </c>
      <c r="M144" s="31">
        <v>2</v>
      </c>
      <c r="N144" s="10">
        <f t="shared" si="52"/>
        <v>2140</v>
      </c>
      <c r="O144" s="10">
        <v>625</v>
      </c>
      <c r="P144" s="395">
        <f t="shared" si="49"/>
        <v>-2.753623188405797E-2</v>
      </c>
      <c r="Q144" s="396">
        <f t="shared" si="49"/>
        <v>0.11691022964509394</v>
      </c>
      <c r="S144" s="143">
        <f t="shared" si="50"/>
        <v>-171</v>
      </c>
      <c r="T144" s="143">
        <f t="shared" si="51"/>
        <v>224</v>
      </c>
      <c r="V144" s="12">
        <v>6210</v>
      </c>
      <c r="W144" s="12">
        <v>1916</v>
      </c>
    </row>
    <row r="145" spans="1:23" ht="13.65" customHeight="1" x14ac:dyDescent="0.3">
      <c r="A145" t="s">
        <v>19</v>
      </c>
      <c r="B145" s="10">
        <v>2524</v>
      </c>
      <c r="C145" s="10">
        <v>1134</v>
      </c>
      <c r="D145" s="10">
        <v>35</v>
      </c>
      <c r="E145" s="10">
        <v>5</v>
      </c>
      <c r="F145" s="10">
        <v>8</v>
      </c>
      <c r="G145" s="10">
        <v>1</v>
      </c>
      <c r="H145" s="10">
        <v>15</v>
      </c>
      <c r="I145" s="14">
        <v>42</v>
      </c>
      <c r="J145" s="10">
        <v>11</v>
      </c>
      <c r="K145" s="10">
        <v>0</v>
      </c>
      <c r="L145" s="10">
        <v>47</v>
      </c>
      <c r="M145" s="31">
        <v>0</v>
      </c>
      <c r="N145" s="10">
        <f t="shared" si="52"/>
        <v>1298</v>
      </c>
      <c r="O145" s="10">
        <v>721</v>
      </c>
      <c r="P145" s="395">
        <f t="shared" si="49"/>
        <v>-0.30659340659340661</v>
      </c>
      <c r="Q145" s="396">
        <f t="shared" si="49"/>
        <v>5.7864710676446621E-2</v>
      </c>
      <c r="S145" s="143">
        <f t="shared" si="50"/>
        <v>-1116</v>
      </c>
      <c r="T145" s="143">
        <f t="shared" si="51"/>
        <v>71</v>
      </c>
      <c r="V145" s="12">
        <v>3640</v>
      </c>
      <c r="W145" s="12">
        <v>1227</v>
      </c>
    </row>
    <row r="146" spans="1:23" ht="13.65" customHeight="1" x14ac:dyDescent="0.3">
      <c r="A146" t="s">
        <v>20</v>
      </c>
      <c r="B146" s="10">
        <v>2820</v>
      </c>
      <c r="C146" s="10">
        <v>960</v>
      </c>
      <c r="D146" s="10">
        <v>52</v>
      </c>
      <c r="E146" s="10">
        <v>0</v>
      </c>
      <c r="F146" s="10">
        <v>21</v>
      </c>
      <c r="G146" s="10">
        <v>0</v>
      </c>
      <c r="H146" s="10">
        <v>2</v>
      </c>
      <c r="I146" s="14">
        <v>1</v>
      </c>
      <c r="J146" s="10">
        <v>1</v>
      </c>
      <c r="K146" s="10">
        <v>62</v>
      </c>
      <c r="L146" s="10">
        <v>1</v>
      </c>
      <c r="M146" s="31">
        <v>0</v>
      </c>
      <c r="N146" s="10">
        <f t="shared" si="52"/>
        <v>1100</v>
      </c>
      <c r="O146" s="10">
        <v>451</v>
      </c>
      <c r="P146" s="395">
        <f t="shared" si="49"/>
        <v>0.12619808306709265</v>
      </c>
      <c r="Q146" s="396">
        <f t="shared" si="49"/>
        <v>0.26582278481012656</v>
      </c>
      <c r="S146" s="143">
        <f t="shared" si="50"/>
        <v>316</v>
      </c>
      <c r="T146" s="143">
        <f t="shared" si="51"/>
        <v>231</v>
      </c>
      <c r="V146" s="12">
        <v>2504</v>
      </c>
      <c r="W146" s="12">
        <v>869</v>
      </c>
    </row>
    <row r="147" spans="1:23" ht="13.65" customHeight="1" x14ac:dyDescent="0.3">
      <c r="A147" t="s">
        <v>21</v>
      </c>
      <c r="B147" s="10">
        <v>1545</v>
      </c>
      <c r="C147" s="10">
        <v>807</v>
      </c>
      <c r="D147" s="10">
        <v>64</v>
      </c>
      <c r="E147" s="10">
        <v>1</v>
      </c>
      <c r="F147" s="10">
        <v>23</v>
      </c>
      <c r="G147" s="10">
        <v>1</v>
      </c>
      <c r="H147" s="10">
        <v>1</v>
      </c>
      <c r="I147" s="10">
        <v>0</v>
      </c>
      <c r="J147" s="10">
        <v>0</v>
      </c>
      <c r="K147" s="10">
        <v>0</v>
      </c>
      <c r="L147" s="10">
        <v>24</v>
      </c>
      <c r="M147" s="31">
        <v>0</v>
      </c>
      <c r="N147" s="10">
        <f t="shared" si="52"/>
        <v>921</v>
      </c>
      <c r="O147" s="10">
        <v>1099</v>
      </c>
      <c r="P147" s="395">
        <f t="shared" si="49"/>
        <v>6.6252587991718431E-2</v>
      </c>
      <c r="Q147" s="396">
        <f t="shared" si="49"/>
        <v>0.69301470588235292</v>
      </c>
      <c r="S147" s="143">
        <f t="shared" si="50"/>
        <v>96</v>
      </c>
      <c r="T147" s="143">
        <f t="shared" si="51"/>
        <v>377</v>
      </c>
      <c r="V147" s="12">
        <v>1449</v>
      </c>
      <c r="W147" s="12">
        <v>544</v>
      </c>
    </row>
    <row r="148" spans="1:23" ht="13.65" customHeight="1" x14ac:dyDescent="0.3">
      <c r="A148" s="4" t="s">
        <v>22</v>
      </c>
      <c r="B148" s="11">
        <v>2166</v>
      </c>
      <c r="C148" s="11">
        <v>726</v>
      </c>
      <c r="D148" s="11">
        <v>45</v>
      </c>
      <c r="E148" s="11">
        <v>1</v>
      </c>
      <c r="F148" s="11">
        <v>19</v>
      </c>
      <c r="G148" s="15">
        <v>2</v>
      </c>
      <c r="H148" s="15">
        <v>4</v>
      </c>
      <c r="I148" s="15">
        <v>0</v>
      </c>
      <c r="J148" s="15">
        <v>0</v>
      </c>
      <c r="K148" s="15">
        <v>31</v>
      </c>
      <c r="L148" s="11">
        <v>0</v>
      </c>
      <c r="M148" s="30">
        <v>0</v>
      </c>
      <c r="N148" s="11">
        <f t="shared" si="52"/>
        <v>828</v>
      </c>
      <c r="O148" s="11">
        <v>692</v>
      </c>
      <c r="P148" s="397">
        <f t="shared" si="49"/>
        <v>0.11822405782137325</v>
      </c>
      <c r="Q148" s="398">
        <f t="shared" si="49"/>
        <v>0.19480519480519481</v>
      </c>
      <c r="S148" s="169">
        <f t="shared" si="50"/>
        <v>229</v>
      </c>
      <c r="T148" s="169">
        <f t="shared" si="51"/>
        <v>135</v>
      </c>
      <c r="V148" s="20">
        <v>1937</v>
      </c>
      <c r="W148" s="20">
        <v>693</v>
      </c>
    </row>
    <row r="149" spans="1:23" ht="13.65" customHeight="1" x14ac:dyDescent="0.3">
      <c r="A149" s="3" t="s">
        <v>131</v>
      </c>
      <c r="B149" s="8">
        <f t="shared" ref="B149:O149" si="53">SUM(B137:B148)</f>
        <v>38364</v>
      </c>
      <c r="C149" s="8">
        <f t="shared" si="53"/>
        <v>12493</v>
      </c>
      <c r="D149" s="8">
        <f t="shared" si="53"/>
        <v>549</v>
      </c>
      <c r="E149" s="8">
        <f t="shared" si="53"/>
        <v>31</v>
      </c>
      <c r="F149" s="8">
        <f t="shared" si="53"/>
        <v>179</v>
      </c>
      <c r="G149" s="8">
        <f t="shared" si="53"/>
        <v>43</v>
      </c>
      <c r="H149" s="8">
        <f t="shared" si="53"/>
        <v>177</v>
      </c>
      <c r="I149" s="8">
        <f t="shared" si="53"/>
        <v>1666</v>
      </c>
      <c r="J149" s="8">
        <f t="shared" si="53"/>
        <v>152</v>
      </c>
      <c r="K149" s="8">
        <f t="shared" si="53"/>
        <v>155</v>
      </c>
      <c r="L149" s="8">
        <f t="shared" si="53"/>
        <v>328</v>
      </c>
      <c r="M149" s="31">
        <f t="shared" si="53"/>
        <v>2</v>
      </c>
      <c r="N149" s="8">
        <f t="shared" si="53"/>
        <v>15773</v>
      </c>
      <c r="O149" s="8">
        <f t="shared" si="53"/>
        <v>9337</v>
      </c>
      <c r="P149" s="399">
        <f t="shared" si="49"/>
        <v>-4.0947952602369879E-2</v>
      </c>
      <c r="Q149" s="399">
        <f t="shared" si="49"/>
        <v>0.16914980357275219</v>
      </c>
      <c r="S149" s="143">
        <f>SUM(S137:S148)</f>
        <v>-1638</v>
      </c>
      <c r="T149" s="143">
        <f>SUM(T137:T148)</f>
        <v>2282</v>
      </c>
      <c r="V149" s="12">
        <f>SUM(V137:V148)</f>
        <v>40002</v>
      </c>
      <c r="W149" s="12">
        <f>SUM(W137:W148)</f>
        <v>13491</v>
      </c>
    </row>
    <row r="150" spans="1:23" ht="13.65" customHeight="1" x14ac:dyDescent="0.3">
      <c r="A150" s="5" t="s">
        <v>106</v>
      </c>
      <c r="B150" s="9">
        <v>40002</v>
      </c>
      <c r="C150" s="9">
        <v>11102</v>
      </c>
      <c r="D150" s="9">
        <v>580</v>
      </c>
      <c r="E150" s="9">
        <v>31</v>
      </c>
      <c r="F150" s="9">
        <v>133</v>
      </c>
      <c r="G150" s="9">
        <v>19</v>
      </c>
      <c r="H150" s="9">
        <v>168</v>
      </c>
      <c r="I150" s="9">
        <v>1182</v>
      </c>
      <c r="J150" s="9">
        <v>141</v>
      </c>
      <c r="K150" s="9">
        <v>124</v>
      </c>
      <c r="L150" s="9">
        <v>11</v>
      </c>
      <c r="M150" s="9">
        <v>1</v>
      </c>
      <c r="N150" s="9">
        <v>13491</v>
      </c>
      <c r="O150" s="9">
        <v>4939</v>
      </c>
      <c r="P150" s="248">
        <v>-4.4090395961575331E-3</v>
      </c>
      <c r="Q150" s="248">
        <v>-2.0640656581123292E-2</v>
      </c>
    </row>
    <row r="151" spans="1:23" ht="13.65" customHeight="1" x14ac:dyDescent="0.3">
      <c r="A151" s="5" t="s">
        <v>23</v>
      </c>
      <c r="B151" s="9">
        <f t="shared" ref="B151:O151" si="54">B149-B150</f>
        <v>-1638</v>
      </c>
      <c r="C151" s="9">
        <f t="shared" si="54"/>
        <v>1391</v>
      </c>
      <c r="D151" s="9">
        <f t="shared" si="54"/>
        <v>-31</v>
      </c>
      <c r="E151" s="9">
        <f t="shared" si="54"/>
        <v>0</v>
      </c>
      <c r="F151" s="9">
        <f t="shared" si="54"/>
        <v>46</v>
      </c>
      <c r="G151" s="9">
        <f t="shared" si="54"/>
        <v>24</v>
      </c>
      <c r="H151" s="9">
        <f t="shared" si="54"/>
        <v>9</v>
      </c>
      <c r="I151" s="9">
        <f t="shared" si="54"/>
        <v>484</v>
      </c>
      <c r="J151" s="9">
        <f t="shared" si="54"/>
        <v>11</v>
      </c>
      <c r="K151" s="9">
        <f t="shared" si="54"/>
        <v>31</v>
      </c>
      <c r="L151" s="9">
        <f t="shared" si="54"/>
        <v>317</v>
      </c>
      <c r="M151" s="30">
        <f t="shared" si="54"/>
        <v>1</v>
      </c>
      <c r="N151" s="9">
        <f t="shared" si="54"/>
        <v>2282</v>
      </c>
      <c r="O151" s="9">
        <f t="shared" si="54"/>
        <v>4398</v>
      </c>
      <c r="P151" s="19"/>
      <c r="Q151" s="19"/>
    </row>
    <row r="152" spans="1:23" ht="13.65" customHeight="1" thickBot="1" x14ac:dyDescent="0.3">
      <c r="B152" t="s">
        <v>172</v>
      </c>
    </row>
    <row r="153" spans="1:23" ht="13.65" customHeight="1" x14ac:dyDescent="0.25">
      <c r="B153" s="368"/>
      <c r="C153" s="369"/>
      <c r="D153" s="369"/>
      <c r="E153" s="369"/>
      <c r="F153" s="369"/>
      <c r="G153" s="369"/>
      <c r="H153" s="369"/>
      <c r="I153" s="369"/>
      <c r="J153" s="370"/>
    </row>
    <row r="154" spans="1:23" ht="18" x14ac:dyDescent="0.25">
      <c r="B154" s="371"/>
      <c r="C154" s="3" t="s">
        <v>173</v>
      </c>
      <c r="F154" s="335" t="s">
        <v>171</v>
      </c>
      <c r="J154" s="372"/>
    </row>
    <row r="155" spans="1:23" ht="18.5" thickBot="1" x14ac:dyDescent="0.3">
      <c r="B155" s="373"/>
      <c r="C155" s="400"/>
      <c r="D155" s="374"/>
      <c r="E155" s="374"/>
      <c r="F155" s="401"/>
      <c r="G155" s="374"/>
      <c r="H155" s="374"/>
      <c r="I155" s="374"/>
      <c r="J155" s="375"/>
    </row>
    <row r="157" spans="1:23" ht="13.65" customHeight="1" x14ac:dyDescent="0.3">
      <c r="A157" s="1" t="s">
        <v>0</v>
      </c>
      <c r="B157" s="2" t="s">
        <v>1</v>
      </c>
      <c r="C157" s="2" t="s">
        <v>2</v>
      </c>
      <c r="D157" s="2" t="s">
        <v>3</v>
      </c>
      <c r="E157" s="2" t="s">
        <v>4</v>
      </c>
      <c r="F157" s="2" t="s">
        <v>5</v>
      </c>
      <c r="G157" s="2" t="s">
        <v>45</v>
      </c>
      <c r="H157" s="2" t="s">
        <v>46</v>
      </c>
      <c r="I157" s="2" t="s">
        <v>48</v>
      </c>
      <c r="J157" s="2" t="s">
        <v>47</v>
      </c>
      <c r="K157" s="26" t="s">
        <v>91</v>
      </c>
      <c r="L157" s="2" t="s">
        <v>6</v>
      </c>
      <c r="M157" s="32" t="s">
        <v>7</v>
      </c>
      <c r="N157" s="1" t="s">
        <v>8</v>
      </c>
      <c r="O157" s="2" t="s">
        <v>25</v>
      </c>
      <c r="P157" s="2" t="s">
        <v>1</v>
      </c>
      <c r="Q157" s="6" t="s">
        <v>9</v>
      </c>
      <c r="S157" s="101" t="s">
        <v>129</v>
      </c>
      <c r="T157" s="101" t="s">
        <v>130</v>
      </c>
      <c r="U157" s="102"/>
      <c r="V157" s="101" t="s">
        <v>103</v>
      </c>
      <c r="W157" s="101" t="s">
        <v>104</v>
      </c>
    </row>
    <row r="158" spans="1:23" ht="13.65" customHeight="1" x14ac:dyDescent="0.3">
      <c r="A158" t="s">
        <v>11</v>
      </c>
      <c r="B158" s="10">
        <v>1887</v>
      </c>
      <c r="C158" s="10">
        <v>657</v>
      </c>
      <c r="D158" s="10">
        <v>68</v>
      </c>
      <c r="E158" s="10">
        <v>0</v>
      </c>
      <c r="F158" s="10">
        <v>6</v>
      </c>
      <c r="G158" s="10">
        <v>0</v>
      </c>
      <c r="H158" s="10">
        <v>0</v>
      </c>
      <c r="I158" s="10">
        <v>0</v>
      </c>
      <c r="J158" s="10">
        <v>0</v>
      </c>
      <c r="K158" s="10">
        <v>0</v>
      </c>
      <c r="L158" s="10">
        <v>0</v>
      </c>
      <c r="M158" s="31">
        <v>0</v>
      </c>
      <c r="N158" s="10">
        <f>SUM(C158:L158)</f>
        <v>731</v>
      </c>
      <c r="O158" s="10">
        <v>848</v>
      </c>
      <c r="P158" s="285">
        <f>S158/V158</f>
        <v>-0.16245006657789615</v>
      </c>
      <c r="Q158" s="286">
        <f>T158/W158</f>
        <v>-0.18415178571428573</v>
      </c>
      <c r="S158" s="143">
        <f t="shared" ref="S158:S169" si="55">B158-V158</f>
        <v>-366</v>
      </c>
      <c r="T158" s="143">
        <f>N158-W158</f>
        <v>-165</v>
      </c>
      <c r="V158" s="107">
        <v>2253</v>
      </c>
      <c r="W158" s="107">
        <v>896</v>
      </c>
    </row>
    <row r="159" spans="1:23" ht="13.65" customHeight="1" x14ac:dyDescent="0.3">
      <c r="A159" t="s">
        <v>12</v>
      </c>
      <c r="B159" s="10">
        <v>1887</v>
      </c>
      <c r="C159" s="10">
        <v>637</v>
      </c>
      <c r="D159" s="10">
        <v>51</v>
      </c>
      <c r="E159" s="10">
        <v>0</v>
      </c>
      <c r="F159" s="10">
        <v>13</v>
      </c>
      <c r="G159" s="10">
        <v>0</v>
      </c>
      <c r="H159" s="10">
        <v>1</v>
      </c>
      <c r="I159" s="10">
        <v>0</v>
      </c>
      <c r="J159" s="10">
        <v>0</v>
      </c>
      <c r="K159" s="10">
        <v>0</v>
      </c>
      <c r="L159" s="10">
        <v>0</v>
      </c>
      <c r="M159" s="31">
        <v>0</v>
      </c>
      <c r="N159" s="10">
        <f>SUM(C159:L159)</f>
        <v>702</v>
      </c>
      <c r="O159" s="10">
        <v>650.5</v>
      </c>
      <c r="P159" s="285">
        <f>S159/V159</f>
        <v>-0.11450023463162834</v>
      </c>
      <c r="Q159" s="287">
        <f>T159/W159</f>
        <v>-0.15625</v>
      </c>
      <c r="S159" s="143">
        <f t="shared" si="55"/>
        <v>-244</v>
      </c>
      <c r="T159" s="143">
        <f t="shared" ref="T159:T169" si="56">N159-W159</f>
        <v>-130</v>
      </c>
      <c r="V159" s="107">
        <v>2131</v>
      </c>
      <c r="W159" s="107">
        <v>832</v>
      </c>
    </row>
    <row r="160" spans="1:23" ht="13.65" customHeight="1" x14ac:dyDescent="0.3">
      <c r="A160" t="s">
        <v>13</v>
      </c>
      <c r="B160" s="10">
        <v>2250</v>
      </c>
      <c r="C160" s="10">
        <v>797</v>
      </c>
      <c r="D160" s="10">
        <v>62</v>
      </c>
      <c r="E160" s="10">
        <v>0</v>
      </c>
      <c r="F160" s="10">
        <v>27</v>
      </c>
      <c r="G160" s="10">
        <v>0</v>
      </c>
      <c r="H160" s="10">
        <v>2</v>
      </c>
      <c r="I160" s="10">
        <v>0</v>
      </c>
      <c r="J160" s="10">
        <v>0</v>
      </c>
      <c r="K160" s="10">
        <v>62</v>
      </c>
      <c r="L160" s="10">
        <v>0</v>
      </c>
      <c r="M160" s="31">
        <v>0</v>
      </c>
      <c r="N160" s="10">
        <f>SUM(C160:L160)</f>
        <v>950</v>
      </c>
      <c r="O160" s="10">
        <v>1120</v>
      </c>
      <c r="P160" s="285">
        <f t="shared" ref="P160:Q170" si="57">S160/V160</f>
        <v>-0.13361571043511744</v>
      </c>
      <c r="Q160" s="287">
        <f>T160/W160</f>
        <v>-8.3011583011583012E-2</v>
      </c>
      <c r="S160" s="143">
        <f t="shared" si="55"/>
        <v>-347</v>
      </c>
      <c r="T160" s="143">
        <f t="shared" si="56"/>
        <v>-86</v>
      </c>
      <c r="V160" s="107">
        <v>2597</v>
      </c>
      <c r="W160" s="107">
        <v>1036</v>
      </c>
    </row>
    <row r="161" spans="1:23" ht="13.65" customHeight="1" x14ac:dyDescent="0.3">
      <c r="A161" t="s">
        <v>14</v>
      </c>
      <c r="B161" s="10">
        <v>3367</v>
      </c>
      <c r="C161" s="10">
        <v>1101</v>
      </c>
      <c r="D161" s="10">
        <v>68</v>
      </c>
      <c r="E161" s="10">
        <v>3</v>
      </c>
      <c r="F161" s="10">
        <v>20</v>
      </c>
      <c r="G161" s="10">
        <v>0</v>
      </c>
      <c r="H161" s="10">
        <v>2</v>
      </c>
      <c r="I161" s="10">
        <v>3</v>
      </c>
      <c r="J161" s="10">
        <v>1</v>
      </c>
      <c r="K161" s="10">
        <v>0</v>
      </c>
      <c r="L161" s="10">
        <v>1</v>
      </c>
      <c r="M161" s="31">
        <v>7</v>
      </c>
      <c r="N161" s="10">
        <f>SUM(C161:L161)</f>
        <v>1199</v>
      </c>
      <c r="O161" s="10">
        <v>1259</v>
      </c>
      <c r="P161" s="285">
        <f t="shared" si="57"/>
        <v>0.32559055118110236</v>
      </c>
      <c r="Q161" s="287">
        <f>T161/W161</f>
        <v>0.28098290598290598</v>
      </c>
      <c r="S161" s="143">
        <f t="shared" si="55"/>
        <v>827</v>
      </c>
      <c r="T161" s="143">
        <f t="shared" si="56"/>
        <v>263</v>
      </c>
      <c r="V161" s="107">
        <v>2540</v>
      </c>
      <c r="W161" s="107">
        <v>936</v>
      </c>
    </row>
    <row r="162" spans="1:23" ht="13.65" customHeight="1" x14ac:dyDescent="0.3">
      <c r="A162" t="s">
        <v>15</v>
      </c>
      <c r="B162" s="16">
        <v>2705</v>
      </c>
      <c r="C162" s="16">
        <v>809</v>
      </c>
      <c r="D162" s="16">
        <v>59</v>
      </c>
      <c r="E162" s="16">
        <v>2</v>
      </c>
      <c r="F162" s="16">
        <v>18</v>
      </c>
      <c r="G162" s="16">
        <v>0</v>
      </c>
      <c r="H162" s="16">
        <v>16</v>
      </c>
      <c r="I162" s="16">
        <v>8</v>
      </c>
      <c r="J162" s="16">
        <v>3</v>
      </c>
      <c r="K162" s="16">
        <v>124</v>
      </c>
      <c r="L162" s="16">
        <v>0</v>
      </c>
      <c r="M162" s="31">
        <v>0</v>
      </c>
      <c r="N162" s="10">
        <f t="shared" ref="N162:N169" si="58">SUM(C162:L162)</f>
        <v>1039</v>
      </c>
      <c r="O162" s="10">
        <v>1109</v>
      </c>
      <c r="P162" s="285">
        <f t="shared" si="57"/>
        <v>-0.30587631511419039</v>
      </c>
      <c r="Q162" s="287">
        <f>T162/W162</f>
        <v>-0.32091503267973859</v>
      </c>
      <c r="S162" s="143">
        <f t="shared" si="55"/>
        <v>-1192</v>
      </c>
      <c r="T162" s="143">
        <f t="shared" si="56"/>
        <v>-491</v>
      </c>
      <c r="V162" s="107">
        <v>3897</v>
      </c>
      <c r="W162" s="107">
        <v>1530</v>
      </c>
    </row>
    <row r="163" spans="1:23" ht="13.65" customHeight="1" x14ac:dyDescent="0.3">
      <c r="A163" t="s">
        <v>16</v>
      </c>
      <c r="B163" s="16">
        <v>5076</v>
      </c>
      <c r="C163" s="16">
        <v>1128</v>
      </c>
      <c r="D163" s="16">
        <v>55</v>
      </c>
      <c r="E163" s="16">
        <v>4</v>
      </c>
      <c r="F163" s="16">
        <v>15</v>
      </c>
      <c r="G163" s="16">
        <v>3</v>
      </c>
      <c r="H163" s="16">
        <v>45</v>
      </c>
      <c r="I163" s="16">
        <v>316</v>
      </c>
      <c r="J163" s="16">
        <v>26</v>
      </c>
      <c r="K163" s="16">
        <v>0</v>
      </c>
      <c r="L163" s="16">
        <v>1</v>
      </c>
      <c r="M163" s="31">
        <v>4</v>
      </c>
      <c r="N163" s="10">
        <f t="shared" si="58"/>
        <v>1593</v>
      </c>
      <c r="O163" s="102">
        <v>1322</v>
      </c>
      <c r="P163" s="285">
        <f t="shared" si="57"/>
        <v>0.17827298050139276</v>
      </c>
      <c r="Q163" s="287">
        <f t="shared" si="57"/>
        <v>0.1226215644820296</v>
      </c>
      <c r="S163" s="143">
        <f t="shared" si="55"/>
        <v>768</v>
      </c>
      <c r="T163" s="143">
        <f t="shared" si="56"/>
        <v>174</v>
      </c>
      <c r="V163" s="107">
        <v>4308</v>
      </c>
      <c r="W163" s="107">
        <v>1419</v>
      </c>
    </row>
    <row r="164" spans="1:23" ht="13.65" customHeight="1" x14ac:dyDescent="0.3">
      <c r="A164" t="s">
        <v>17</v>
      </c>
      <c r="B164" s="10">
        <v>7235</v>
      </c>
      <c r="C164" s="10">
        <v>1271</v>
      </c>
      <c r="D164" s="10">
        <v>22</v>
      </c>
      <c r="E164" s="10">
        <v>10</v>
      </c>
      <c r="F164" s="10">
        <v>1</v>
      </c>
      <c r="G164" s="10">
        <v>24</v>
      </c>
      <c r="H164" s="10">
        <v>93</v>
      </c>
      <c r="I164" s="10">
        <v>959</v>
      </c>
      <c r="J164" s="10">
        <v>112</v>
      </c>
      <c r="K164" s="10">
        <v>31</v>
      </c>
      <c r="L164" s="10">
        <v>9</v>
      </c>
      <c r="M164" s="31">
        <v>3</v>
      </c>
      <c r="N164" s="10">
        <f t="shared" si="58"/>
        <v>2532</v>
      </c>
      <c r="O164" s="10">
        <v>903</v>
      </c>
      <c r="P164" s="285">
        <f t="shared" si="57"/>
        <v>1.9301211608903916E-2</v>
      </c>
      <c r="Q164" s="287">
        <f t="shared" si="57"/>
        <v>-1.7080745341614908E-2</v>
      </c>
      <c r="S164" s="143">
        <f t="shared" si="55"/>
        <v>137</v>
      </c>
      <c r="T164" s="143">
        <f t="shared" si="56"/>
        <v>-44</v>
      </c>
      <c r="V164" s="107">
        <v>7098</v>
      </c>
      <c r="W164" s="107">
        <v>2576</v>
      </c>
    </row>
    <row r="165" spans="1:23" ht="13.65" customHeight="1" x14ac:dyDescent="0.3">
      <c r="A165" t="s">
        <v>18</v>
      </c>
      <c r="B165" s="10">
        <v>5215</v>
      </c>
      <c r="C165" s="10">
        <v>1246</v>
      </c>
      <c r="D165" s="10">
        <v>66</v>
      </c>
      <c r="E165" s="10">
        <v>11</v>
      </c>
      <c r="F165" s="10">
        <v>19</v>
      </c>
      <c r="G165" s="10">
        <v>9</v>
      </c>
      <c r="H165" s="10">
        <v>42</v>
      </c>
      <c r="I165" s="10">
        <v>267</v>
      </c>
      <c r="J165" s="10">
        <v>40</v>
      </c>
      <c r="K165" s="10">
        <v>155</v>
      </c>
      <c r="L165" s="10">
        <v>1</v>
      </c>
      <c r="M165" s="31">
        <v>0</v>
      </c>
      <c r="N165" s="10">
        <f t="shared" si="58"/>
        <v>1856</v>
      </c>
      <c r="O165" s="10">
        <v>1677</v>
      </c>
      <c r="P165" s="285">
        <f t="shared" si="57"/>
        <v>-1.3058289174867524E-2</v>
      </c>
      <c r="Q165" s="287">
        <f t="shared" si="57"/>
        <v>3.5136642498605687E-2</v>
      </c>
      <c r="S165" s="143">
        <f t="shared" si="55"/>
        <v>-69</v>
      </c>
      <c r="T165" s="143">
        <f t="shared" si="56"/>
        <v>63</v>
      </c>
      <c r="V165" s="107">
        <v>5284</v>
      </c>
      <c r="W165" s="107">
        <v>1793</v>
      </c>
    </row>
    <row r="166" spans="1:23" ht="13.65" customHeight="1" x14ac:dyDescent="0.3">
      <c r="A166" t="s">
        <v>19</v>
      </c>
      <c r="B166" s="10">
        <v>3276</v>
      </c>
      <c r="C166" s="10">
        <v>1109</v>
      </c>
      <c r="D166" s="10">
        <v>74</v>
      </c>
      <c r="E166" s="10">
        <v>1</v>
      </c>
      <c r="F166" s="10">
        <v>38</v>
      </c>
      <c r="G166" s="10">
        <v>1</v>
      </c>
      <c r="H166" s="10">
        <v>5</v>
      </c>
      <c r="I166" s="10">
        <v>11</v>
      </c>
      <c r="J166" s="10">
        <v>4</v>
      </c>
      <c r="K166" s="10">
        <v>0</v>
      </c>
      <c r="L166" s="10">
        <v>2</v>
      </c>
      <c r="M166" s="31">
        <v>5</v>
      </c>
      <c r="N166" s="10">
        <f t="shared" si="58"/>
        <v>1245</v>
      </c>
      <c r="O166" s="10">
        <v>1608</v>
      </c>
      <c r="P166" s="285">
        <f t="shared" si="57"/>
        <v>-0.14173434634529736</v>
      </c>
      <c r="Q166" s="287">
        <f t="shared" si="57"/>
        <v>-8.8579795021961935E-2</v>
      </c>
      <c r="S166" s="143">
        <f t="shared" si="55"/>
        <v>-541</v>
      </c>
      <c r="T166" s="143">
        <f t="shared" si="56"/>
        <v>-121</v>
      </c>
      <c r="V166" s="107">
        <v>3817</v>
      </c>
      <c r="W166" s="107">
        <v>1366</v>
      </c>
    </row>
    <row r="167" spans="1:23" ht="13.65" customHeight="1" x14ac:dyDescent="0.3">
      <c r="A167" t="s">
        <v>20</v>
      </c>
      <c r="B167" s="10">
        <v>3036</v>
      </c>
      <c r="C167" s="10">
        <v>1048</v>
      </c>
      <c r="D167" s="10">
        <v>70</v>
      </c>
      <c r="E167" s="10">
        <v>2</v>
      </c>
      <c r="F167" s="10">
        <v>32</v>
      </c>
      <c r="G167" s="10">
        <v>0</v>
      </c>
      <c r="H167" s="10">
        <v>1</v>
      </c>
      <c r="I167" s="10">
        <v>6</v>
      </c>
      <c r="J167" s="10">
        <v>1</v>
      </c>
      <c r="K167" s="10">
        <v>124</v>
      </c>
      <c r="L167" s="10">
        <v>4</v>
      </c>
      <c r="M167" s="31">
        <v>0</v>
      </c>
      <c r="N167" s="10">
        <f t="shared" si="58"/>
        <v>1288</v>
      </c>
      <c r="O167" s="10">
        <v>863</v>
      </c>
      <c r="P167" s="285">
        <f t="shared" si="57"/>
        <v>-0.13921179472639636</v>
      </c>
      <c r="Q167" s="287">
        <f t="shared" si="57"/>
        <v>-2.9389600602863601E-2</v>
      </c>
      <c r="S167" s="143">
        <f t="shared" si="55"/>
        <v>-491</v>
      </c>
      <c r="T167" s="143">
        <f t="shared" si="56"/>
        <v>-39</v>
      </c>
      <c r="V167" s="107">
        <v>3527</v>
      </c>
      <c r="W167" s="107">
        <v>1327</v>
      </c>
    </row>
    <row r="168" spans="1:23" ht="13.65" customHeight="1" x14ac:dyDescent="0.3">
      <c r="A168" t="s">
        <v>21</v>
      </c>
      <c r="B168" s="10">
        <v>2301</v>
      </c>
      <c r="C168" s="10">
        <v>798</v>
      </c>
      <c r="D168" s="10">
        <v>74</v>
      </c>
      <c r="E168" s="10">
        <v>1</v>
      </c>
      <c r="F168" s="10">
        <v>19</v>
      </c>
      <c r="G168" s="10">
        <v>1</v>
      </c>
      <c r="H168" s="10">
        <v>1</v>
      </c>
      <c r="I168" s="10">
        <v>0</v>
      </c>
      <c r="J168" s="10">
        <v>0</v>
      </c>
      <c r="K168" s="10">
        <v>0</v>
      </c>
      <c r="L168" s="10">
        <v>4</v>
      </c>
      <c r="M168" s="31">
        <v>0</v>
      </c>
      <c r="N168" s="10">
        <f t="shared" si="58"/>
        <v>898</v>
      </c>
      <c r="O168" s="10">
        <v>1264</v>
      </c>
      <c r="P168" s="285">
        <f t="shared" si="57"/>
        <v>-0.18950334624867912</v>
      </c>
      <c r="Q168" s="287">
        <f t="shared" si="57"/>
        <v>-0.17082179132040629</v>
      </c>
      <c r="S168" s="143">
        <f t="shared" si="55"/>
        <v>-538</v>
      </c>
      <c r="T168" s="143">
        <f t="shared" si="56"/>
        <v>-185</v>
      </c>
      <c r="V168" s="107">
        <v>2839</v>
      </c>
      <c r="W168" s="107">
        <v>1083</v>
      </c>
    </row>
    <row r="169" spans="1:23" ht="13.65" customHeight="1" x14ac:dyDescent="0.3">
      <c r="A169" s="4" t="s">
        <v>22</v>
      </c>
      <c r="B169" s="11">
        <v>2389</v>
      </c>
      <c r="C169" s="11">
        <v>795</v>
      </c>
      <c r="D169" s="11">
        <v>65</v>
      </c>
      <c r="E169" s="11">
        <v>2</v>
      </c>
      <c r="F169" s="11">
        <v>5</v>
      </c>
      <c r="G169" s="15">
        <v>2</v>
      </c>
      <c r="H169" s="15">
        <v>2</v>
      </c>
      <c r="I169" s="15">
        <v>0</v>
      </c>
      <c r="J169" s="15">
        <v>0</v>
      </c>
      <c r="K169" s="15">
        <v>0</v>
      </c>
      <c r="L169" s="11">
        <v>1</v>
      </c>
      <c r="M169" s="30">
        <v>0</v>
      </c>
      <c r="N169" s="11">
        <f t="shared" si="58"/>
        <v>872</v>
      </c>
      <c r="O169" s="11">
        <v>820</v>
      </c>
      <c r="P169" s="288">
        <f t="shared" si="57"/>
        <v>-7.6179427687548332E-2</v>
      </c>
      <c r="Q169" s="289">
        <f t="shared" si="57"/>
        <v>-6.236559139784946E-2</v>
      </c>
      <c r="S169" s="169">
        <f t="shared" si="55"/>
        <v>-197</v>
      </c>
      <c r="T169" s="169">
        <f t="shared" si="56"/>
        <v>-58</v>
      </c>
      <c r="V169" s="108">
        <v>2586</v>
      </c>
      <c r="W169" s="108">
        <v>930</v>
      </c>
    </row>
    <row r="170" spans="1:23" ht="13.65" customHeight="1" x14ac:dyDescent="0.3">
      <c r="A170" s="3" t="s">
        <v>131</v>
      </c>
      <c r="B170" s="8">
        <f>SUM(B157:B169)</f>
        <v>40624</v>
      </c>
      <c r="C170" s="8">
        <f t="shared" ref="C170:O170" si="59">SUM(C157:C169)</f>
        <v>11396</v>
      </c>
      <c r="D170" s="8">
        <f t="shared" si="59"/>
        <v>734</v>
      </c>
      <c r="E170" s="8">
        <f t="shared" si="59"/>
        <v>36</v>
      </c>
      <c r="F170" s="8">
        <f t="shared" si="59"/>
        <v>213</v>
      </c>
      <c r="G170" s="8">
        <f t="shared" si="59"/>
        <v>40</v>
      </c>
      <c r="H170" s="8">
        <f t="shared" si="59"/>
        <v>210</v>
      </c>
      <c r="I170" s="8">
        <f t="shared" si="59"/>
        <v>1570</v>
      </c>
      <c r="J170" s="8">
        <f t="shared" si="59"/>
        <v>187</v>
      </c>
      <c r="K170" s="8">
        <f t="shared" si="59"/>
        <v>496</v>
      </c>
      <c r="L170" s="8">
        <f t="shared" si="59"/>
        <v>23</v>
      </c>
      <c r="M170" s="8">
        <f t="shared" si="59"/>
        <v>19</v>
      </c>
      <c r="N170" s="8">
        <f t="shared" si="59"/>
        <v>14905</v>
      </c>
      <c r="O170" s="8">
        <f t="shared" si="59"/>
        <v>13443.5</v>
      </c>
      <c r="P170" s="399">
        <f t="shared" si="57"/>
        <v>-5.2545653847050865E-2</v>
      </c>
      <c r="Q170" s="399">
        <f t="shared" si="57"/>
        <v>-5.2085983210379036E-2</v>
      </c>
      <c r="S170" s="143">
        <f>SUM(S158:S169)</f>
        <v>-2253</v>
      </c>
      <c r="T170" s="143">
        <f>SUM(T158:T169)</f>
        <v>-819</v>
      </c>
      <c r="V170" s="12">
        <f>SUM(V158:V169)</f>
        <v>42877</v>
      </c>
      <c r="W170" s="12">
        <f>SUM(W158:W169)</f>
        <v>15724</v>
      </c>
    </row>
    <row r="171" spans="1:23" ht="13.65" customHeight="1" x14ac:dyDescent="0.3">
      <c r="A171" s="5" t="s">
        <v>106</v>
      </c>
      <c r="B171" s="9">
        <v>42877</v>
      </c>
      <c r="C171" s="9">
        <v>12022</v>
      </c>
      <c r="D171" s="9">
        <v>1139</v>
      </c>
      <c r="E171" s="9">
        <v>33</v>
      </c>
      <c r="F171" s="9">
        <v>224</v>
      </c>
      <c r="G171" s="9">
        <v>41</v>
      </c>
      <c r="H171" s="9">
        <v>199</v>
      </c>
      <c r="I171" s="9">
        <v>1562</v>
      </c>
      <c r="J171" s="9">
        <v>179</v>
      </c>
      <c r="K171" s="9">
        <v>310</v>
      </c>
      <c r="L171" s="9">
        <v>15</v>
      </c>
      <c r="M171" s="9">
        <v>23</v>
      </c>
      <c r="N171" s="9">
        <v>15724</v>
      </c>
      <c r="O171" s="9">
        <v>7628.5</v>
      </c>
      <c r="P171" s="17">
        <v>9.2279579716765606E-3</v>
      </c>
      <c r="Q171" s="17">
        <v>-2.3897816234033788E-2</v>
      </c>
    </row>
    <row r="172" spans="1:23" ht="13.65" customHeight="1" x14ac:dyDescent="0.3">
      <c r="A172" s="5" t="s">
        <v>23</v>
      </c>
      <c r="B172" s="9">
        <f t="shared" ref="B172:K172" si="60">B170-B171</f>
        <v>-2253</v>
      </c>
      <c r="C172" s="9">
        <f t="shared" si="60"/>
        <v>-626</v>
      </c>
      <c r="D172" s="9">
        <f t="shared" si="60"/>
        <v>-405</v>
      </c>
      <c r="E172" s="9">
        <f t="shared" si="60"/>
        <v>3</v>
      </c>
      <c r="F172" s="9">
        <f t="shared" si="60"/>
        <v>-11</v>
      </c>
      <c r="G172" s="9">
        <f t="shared" si="60"/>
        <v>-1</v>
      </c>
      <c r="H172" s="9">
        <f t="shared" si="60"/>
        <v>11</v>
      </c>
      <c r="I172" s="9">
        <f t="shared" si="60"/>
        <v>8</v>
      </c>
      <c r="J172" s="9">
        <f t="shared" si="60"/>
        <v>8</v>
      </c>
      <c r="K172" s="9">
        <f t="shared" si="60"/>
        <v>186</v>
      </c>
      <c r="L172" s="9">
        <f>L170-L171</f>
        <v>8</v>
      </c>
      <c r="M172" s="30">
        <f>M170-M171</f>
        <v>-4</v>
      </c>
      <c r="N172" s="9">
        <f>N170-N171</f>
        <v>-819</v>
      </c>
      <c r="O172" s="9">
        <f>O170-O171</f>
        <v>5815</v>
      </c>
      <c r="P172" s="19"/>
      <c r="Q172" s="19"/>
    </row>
    <row r="173" spans="1:23" ht="13.65" customHeight="1" thickBot="1" x14ac:dyDescent="0.3"/>
    <row r="174" spans="1:23" ht="13.65" customHeight="1" x14ac:dyDescent="0.25">
      <c r="B174" s="368"/>
      <c r="C174" s="369"/>
      <c r="D174" s="369"/>
      <c r="E174" s="369"/>
      <c r="F174" s="369"/>
      <c r="G174" s="369"/>
      <c r="H174" s="369"/>
      <c r="I174" s="369"/>
      <c r="J174" s="370"/>
    </row>
    <row r="175" spans="1:23" ht="18" x14ac:dyDescent="0.25">
      <c r="B175" s="371"/>
      <c r="C175" s="3" t="s">
        <v>174</v>
      </c>
      <c r="F175" s="335" t="s">
        <v>171</v>
      </c>
      <c r="J175" s="372"/>
    </row>
    <row r="176" spans="1:23" ht="13.65" customHeight="1" thickBot="1" x14ac:dyDescent="0.3">
      <c r="B176" s="373"/>
      <c r="C176" s="374"/>
      <c r="D176" s="374"/>
      <c r="E176" s="374"/>
      <c r="F176" s="374"/>
      <c r="G176" s="374"/>
      <c r="H176" s="374"/>
      <c r="I176" s="374"/>
      <c r="J176" s="375"/>
    </row>
    <row r="178" spans="1:23" ht="13.65" customHeight="1" x14ac:dyDescent="0.3">
      <c r="A178" s="1" t="s">
        <v>0</v>
      </c>
      <c r="B178" s="2" t="s">
        <v>1</v>
      </c>
      <c r="C178" s="2" t="s">
        <v>2</v>
      </c>
      <c r="D178" s="2" t="s">
        <v>3</v>
      </c>
      <c r="E178" s="2" t="s">
        <v>4</v>
      </c>
      <c r="F178" s="87" t="s">
        <v>5</v>
      </c>
      <c r="G178" s="87" t="s">
        <v>45</v>
      </c>
      <c r="H178" s="402" t="s">
        <v>46</v>
      </c>
      <c r="I178" s="122" t="s">
        <v>48</v>
      </c>
      <c r="J178" s="2" t="s">
        <v>47</v>
      </c>
      <c r="K178" s="26" t="s">
        <v>91</v>
      </c>
      <c r="L178" s="2" t="s">
        <v>6</v>
      </c>
      <c r="M178" s="32" t="s">
        <v>7</v>
      </c>
      <c r="N178" s="1" t="s">
        <v>8</v>
      </c>
      <c r="O178" s="2" t="s">
        <v>10</v>
      </c>
      <c r="P178" s="2" t="s">
        <v>1</v>
      </c>
      <c r="Q178" s="6" t="s">
        <v>9</v>
      </c>
      <c r="S178" s="101" t="s">
        <v>129</v>
      </c>
      <c r="T178" s="101" t="s">
        <v>130</v>
      </c>
      <c r="U178" s="102"/>
      <c r="V178" s="101" t="s">
        <v>103</v>
      </c>
      <c r="W178" s="101" t="s">
        <v>104</v>
      </c>
    </row>
    <row r="179" spans="1:23" ht="13.65" customHeight="1" x14ac:dyDescent="0.25">
      <c r="A179" t="s">
        <v>11</v>
      </c>
      <c r="B179" s="10"/>
      <c r="C179" s="10"/>
      <c r="D179" s="10"/>
      <c r="E179" s="10"/>
      <c r="F179" s="10"/>
      <c r="G179" s="10"/>
      <c r="H179" s="10"/>
      <c r="I179" s="10"/>
      <c r="J179" s="10"/>
      <c r="K179" s="10"/>
      <c r="L179" s="10"/>
      <c r="M179" s="10"/>
      <c r="N179" s="10">
        <v>0</v>
      </c>
      <c r="O179" s="10"/>
      <c r="P179" s="285"/>
      <c r="Q179" s="286"/>
      <c r="S179" s="143"/>
      <c r="T179" s="143"/>
    </row>
    <row r="180" spans="1:23" ht="13.65" customHeight="1" x14ac:dyDescent="0.25">
      <c r="A180" t="s">
        <v>12</v>
      </c>
      <c r="B180" s="10"/>
      <c r="C180" s="10"/>
      <c r="D180" s="10"/>
      <c r="E180" s="10"/>
      <c r="F180" s="10"/>
      <c r="G180" s="10"/>
      <c r="H180" s="10"/>
      <c r="I180" s="10"/>
      <c r="J180" s="10"/>
      <c r="K180" s="10"/>
      <c r="L180" s="10"/>
      <c r="M180" s="10"/>
      <c r="N180" s="10">
        <f>SUM(C180:L180)</f>
        <v>0</v>
      </c>
      <c r="O180" s="10"/>
      <c r="P180" s="285"/>
      <c r="Q180" s="287"/>
      <c r="S180" s="143"/>
      <c r="T180" s="143"/>
    </row>
    <row r="181" spans="1:23" ht="13.65" customHeight="1" x14ac:dyDescent="0.25">
      <c r="A181" t="s">
        <v>13</v>
      </c>
      <c r="B181" s="10"/>
      <c r="C181" s="10"/>
      <c r="D181" s="10"/>
      <c r="E181" s="10"/>
      <c r="F181" s="10"/>
      <c r="G181" s="10"/>
      <c r="H181" s="10"/>
      <c r="I181" s="10"/>
      <c r="J181" s="10"/>
      <c r="K181" s="10"/>
      <c r="L181" s="10"/>
      <c r="M181" s="10"/>
      <c r="N181" s="10">
        <v>0</v>
      </c>
      <c r="O181" s="10"/>
      <c r="P181" s="285"/>
      <c r="Q181" s="287"/>
      <c r="S181" s="143"/>
      <c r="T181" s="143"/>
    </row>
    <row r="182" spans="1:23" ht="13.65" customHeight="1" x14ac:dyDescent="0.25">
      <c r="A182" t="s">
        <v>14</v>
      </c>
      <c r="B182" s="10"/>
      <c r="C182" s="10"/>
      <c r="D182" s="10"/>
      <c r="E182" s="10"/>
      <c r="F182" s="10"/>
      <c r="G182" s="10"/>
      <c r="H182" s="10"/>
      <c r="I182" s="10"/>
      <c r="J182" s="10"/>
      <c r="K182" s="10"/>
      <c r="L182" s="10"/>
      <c r="M182" s="10"/>
      <c r="N182" s="10">
        <v>0</v>
      </c>
      <c r="O182" s="10"/>
      <c r="P182" s="285"/>
      <c r="Q182" s="287"/>
      <c r="S182" s="143">
        <f>B182-V182</f>
        <v>-689</v>
      </c>
      <c r="T182" s="143">
        <f>N182-W182</f>
        <v>-258</v>
      </c>
      <c r="V182">
        <v>689</v>
      </c>
      <c r="W182">
        <v>258</v>
      </c>
    </row>
    <row r="183" spans="1:23" ht="13.65" customHeight="1" x14ac:dyDescent="0.3">
      <c r="A183" t="s">
        <v>15</v>
      </c>
      <c r="B183" s="10">
        <v>1423</v>
      </c>
      <c r="C183" s="10">
        <v>413</v>
      </c>
      <c r="D183" s="10">
        <v>30</v>
      </c>
      <c r="E183" s="10">
        <v>1</v>
      </c>
      <c r="F183" s="10">
        <v>8</v>
      </c>
      <c r="G183" s="10">
        <v>0</v>
      </c>
      <c r="H183" s="10">
        <v>1</v>
      </c>
      <c r="I183" s="10">
        <v>4</v>
      </c>
      <c r="J183" s="10">
        <v>1</v>
      </c>
      <c r="K183" s="10">
        <v>0</v>
      </c>
      <c r="L183" s="10">
        <v>43</v>
      </c>
      <c r="M183" s="31">
        <v>0</v>
      </c>
      <c r="N183" s="10">
        <f t="shared" ref="N183:N190" si="61">SUM(C183:L183)</f>
        <v>501</v>
      </c>
      <c r="O183" s="10">
        <v>283</v>
      </c>
      <c r="P183" s="285"/>
      <c r="Q183" s="287"/>
      <c r="S183" s="143">
        <f>B183-V183</f>
        <v>-666</v>
      </c>
      <c r="T183" s="143">
        <f>N183-W183</f>
        <v>-159</v>
      </c>
      <c r="V183">
        <v>2089</v>
      </c>
      <c r="W183">
        <v>660</v>
      </c>
    </row>
    <row r="184" spans="1:23" ht="13.65" customHeight="1" x14ac:dyDescent="0.3">
      <c r="A184" t="s">
        <v>16</v>
      </c>
      <c r="B184" s="102">
        <v>2151</v>
      </c>
      <c r="C184" s="102">
        <v>546</v>
      </c>
      <c r="D184" s="102">
        <v>23</v>
      </c>
      <c r="E184" s="102">
        <v>2</v>
      </c>
      <c r="F184" s="102">
        <v>8</v>
      </c>
      <c r="G184" s="102">
        <v>1</v>
      </c>
      <c r="H184" s="102">
        <v>13</v>
      </c>
      <c r="I184" s="102">
        <v>134</v>
      </c>
      <c r="J184" s="102">
        <v>10</v>
      </c>
      <c r="K184" s="102">
        <v>0</v>
      </c>
      <c r="L184" s="102">
        <v>7</v>
      </c>
      <c r="M184" s="31">
        <v>0</v>
      </c>
      <c r="N184" s="10">
        <f t="shared" si="61"/>
        <v>744</v>
      </c>
      <c r="O184" s="10">
        <v>266</v>
      </c>
      <c r="P184" s="285"/>
      <c r="Q184" s="287"/>
      <c r="R184" t="s">
        <v>175</v>
      </c>
      <c r="S184" s="143">
        <f>B184-V184</f>
        <v>362</v>
      </c>
      <c r="T184" s="143">
        <f>N184-W184</f>
        <v>127</v>
      </c>
      <c r="V184">
        <v>1789</v>
      </c>
      <c r="W184" s="12">
        <v>617</v>
      </c>
    </row>
    <row r="185" spans="1:23" ht="13.65" customHeight="1" x14ac:dyDescent="0.3">
      <c r="A185" t="s">
        <v>17</v>
      </c>
      <c r="B185" s="102">
        <v>6153</v>
      </c>
      <c r="C185" s="102">
        <v>1384</v>
      </c>
      <c r="D185" s="102">
        <v>40</v>
      </c>
      <c r="E185" s="102">
        <v>5</v>
      </c>
      <c r="F185" s="102">
        <v>8</v>
      </c>
      <c r="G185" s="102">
        <v>9</v>
      </c>
      <c r="H185" s="102">
        <v>66</v>
      </c>
      <c r="I185" s="102">
        <v>645</v>
      </c>
      <c r="J185" s="102">
        <v>69</v>
      </c>
      <c r="K185" s="102">
        <v>62</v>
      </c>
      <c r="L185" s="102">
        <v>7</v>
      </c>
      <c r="M185" s="31">
        <v>0</v>
      </c>
      <c r="N185" s="10">
        <f t="shared" si="61"/>
        <v>2295</v>
      </c>
      <c r="O185" s="10">
        <v>518</v>
      </c>
      <c r="P185" s="285"/>
      <c r="Q185" s="287"/>
      <c r="R185" t="s">
        <v>176</v>
      </c>
      <c r="S185" s="143">
        <f>B185-V185</f>
        <v>-290</v>
      </c>
      <c r="T185" s="143">
        <f>N185-W185</f>
        <v>55</v>
      </c>
      <c r="V185">
        <v>6443</v>
      </c>
      <c r="W185" s="12">
        <v>2240</v>
      </c>
    </row>
    <row r="186" spans="1:23" ht="13.65" customHeight="1" x14ac:dyDescent="0.3">
      <c r="A186" t="s">
        <v>18</v>
      </c>
      <c r="B186" s="10">
        <v>1678</v>
      </c>
      <c r="C186" s="10">
        <v>388</v>
      </c>
      <c r="D186" s="10">
        <v>10</v>
      </c>
      <c r="E186" s="10">
        <v>1</v>
      </c>
      <c r="F186" s="10">
        <v>4</v>
      </c>
      <c r="G186" s="10">
        <v>4</v>
      </c>
      <c r="H186" s="10">
        <v>14</v>
      </c>
      <c r="I186" s="10">
        <v>77</v>
      </c>
      <c r="J186" s="10">
        <v>22</v>
      </c>
      <c r="K186" s="10">
        <v>0</v>
      </c>
      <c r="L186" s="10">
        <v>1</v>
      </c>
      <c r="M186" s="31">
        <v>0</v>
      </c>
      <c r="N186" s="10">
        <f t="shared" si="61"/>
        <v>521</v>
      </c>
      <c r="O186" s="10">
        <v>58</v>
      </c>
      <c r="P186" s="285"/>
      <c r="Q186" s="287"/>
      <c r="R186" t="s">
        <v>177</v>
      </c>
      <c r="S186" s="143">
        <f>B186-V186</f>
        <v>-213</v>
      </c>
      <c r="T186" s="143">
        <f>N186-W186</f>
        <v>-150</v>
      </c>
      <c r="V186">
        <v>1891</v>
      </c>
      <c r="W186" s="12">
        <v>671</v>
      </c>
    </row>
    <row r="187" spans="1:23" ht="13.65" customHeight="1" x14ac:dyDescent="0.3">
      <c r="A187" t="s">
        <v>19</v>
      </c>
      <c r="B187" s="10"/>
      <c r="C187" s="10"/>
      <c r="D187" s="10"/>
      <c r="E187" s="10"/>
      <c r="F187" s="10"/>
      <c r="G187" s="10"/>
      <c r="H187" s="10"/>
      <c r="I187" s="10"/>
      <c r="J187" s="10"/>
      <c r="K187" s="10"/>
      <c r="L187" s="10"/>
      <c r="M187" s="31"/>
      <c r="N187" s="10">
        <f t="shared" si="61"/>
        <v>0</v>
      </c>
      <c r="O187" s="10"/>
      <c r="P187" s="285"/>
      <c r="Q187" s="287"/>
      <c r="S187" s="143"/>
      <c r="T187" s="143"/>
    </row>
    <row r="188" spans="1:23" ht="13.65" customHeight="1" x14ac:dyDescent="0.3">
      <c r="A188" t="s">
        <v>20</v>
      </c>
      <c r="B188" s="10"/>
      <c r="C188" s="10"/>
      <c r="D188" s="10"/>
      <c r="E188" s="10"/>
      <c r="J188" s="10"/>
      <c r="K188" s="10"/>
      <c r="L188" s="10"/>
      <c r="M188" s="31"/>
      <c r="N188" s="10">
        <f t="shared" si="61"/>
        <v>0</v>
      </c>
      <c r="O188" s="10"/>
      <c r="P188" s="285"/>
      <c r="Q188" s="287"/>
      <c r="S188" s="143"/>
      <c r="T188" s="143"/>
    </row>
    <row r="189" spans="1:23" ht="13.65" customHeight="1" x14ac:dyDescent="0.3">
      <c r="A189" t="s">
        <v>21</v>
      </c>
      <c r="B189" s="10"/>
      <c r="C189" s="10"/>
      <c r="D189" s="10"/>
      <c r="E189" s="10"/>
      <c r="J189" s="10"/>
      <c r="K189" s="10"/>
      <c r="L189" s="10"/>
      <c r="M189" s="31"/>
      <c r="N189" s="10">
        <f t="shared" si="61"/>
        <v>0</v>
      </c>
      <c r="O189" s="10"/>
      <c r="P189" s="285"/>
      <c r="Q189" s="287"/>
      <c r="S189" s="143"/>
      <c r="T189" s="143"/>
    </row>
    <row r="190" spans="1:23" ht="13.65" customHeight="1" x14ac:dyDescent="0.3">
      <c r="A190" s="4" t="s">
        <v>22</v>
      </c>
      <c r="B190" s="11"/>
      <c r="C190" s="11"/>
      <c r="D190" s="11"/>
      <c r="E190" s="11"/>
      <c r="F190" s="4"/>
      <c r="G190" s="4"/>
      <c r="H190" s="4"/>
      <c r="I190" s="4"/>
      <c r="J190" s="11"/>
      <c r="K190" s="11"/>
      <c r="L190" s="11"/>
      <c r="M190" s="30"/>
      <c r="N190" s="11">
        <f t="shared" si="61"/>
        <v>0</v>
      </c>
      <c r="O190" s="11"/>
      <c r="P190" s="288"/>
      <c r="Q190" s="289"/>
      <c r="S190" s="169"/>
      <c r="T190" s="169"/>
      <c r="V190" s="4"/>
      <c r="W190" s="4"/>
    </row>
    <row r="191" spans="1:23" ht="13.65" customHeight="1" x14ac:dyDescent="0.3">
      <c r="A191" s="3" t="s">
        <v>131</v>
      </c>
      <c r="B191" s="8">
        <f t="shared" ref="B191:O191" si="62">SUM(B179:B190)</f>
        <v>11405</v>
      </c>
      <c r="C191" s="8">
        <f t="shared" si="62"/>
        <v>2731</v>
      </c>
      <c r="D191" s="8">
        <f t="shared" si="62"/>
        <v>103</v>
      </c>
      <c r="E191" s="8">
        <f t="shared" si="62"/>
        <v>9</v>
      </c>
      <c r="F191" s="8">
        <f t="shared" si="62"/>
        <v>28</v>
      </c>
      <c r="G191" s="8">
        <f t="shared" si="62"/>
        <v>14</v>
      </c>
      <c r="H191" s="8">
        <f t="shared" si="62"/>
        <v>94</v>
      </c>
      <c r="I191" s="8">
        <f t="shared" si="62"/>
        <v>860</v>
      </c>
      <c r="J191" s="8">
        <f t="shared" si="62"/>
        <v>102</v>
      </c>
      <c r="K191" s="8">
        <f t="shared" si="62"/>
        <v>62</v>
      </c>
      <c r="L191" s="8">
        <f t="shared" si="62"/>
        <v>58</v>
      </c>
      <c r="M191" s="31">
        <f t="shared" si="62"/>
        <v>0</v>
      </c>
      <c r="N191" s="8">
        <f t="shared" si="62"/>
        <v>4061</v>
      </c>
      <c r="O191" s="8">
        <f t="shared" si="62"/>
        <v>1125</v>
      </c>
      <c r="P191" s="290">
        <f>S191/V191</f>
        <v>-3.9965986394557826E-2</v>
      </c>
      <c r="Q191" s="187">
        <f>T191/W191</f>
        <v>7.1974808816914083E-3</v>
      </c>
      <c r="S191" s="143">
        <f>SUM(S184:S186)</f>
        <v>-141</v>
      </c>
      <c r="T191" s="143">
        <f>SUM(T184:T186)</f>
        <v>32</v>
      </c>
      <c r="V191" s="12">
        <f>SUM(W184:W186)</f>
        <v>3528</v>
      </c>
      <c r="W191" s="12">
        <f>SUM(W182:W190)</f>
        <v>4446</v>
      </c>
    </row>
    <row r="192" spans="1:23" ht="13.65" customHeight="1" x14ac:dyDescent="0.3">
      <c r="A192" s="5" t="s">
        <v>106</v>
      </c>
      <c r="B192" s="9">
        <v>12901</v>
      </c>
      <c r="C192" s="9">
        <v>3184</v>
      </c>
      <c r="D192" s="9">
        <v>161</v>
      </c>
      <c r="E192" s="9">
        <v>7</v>
      </c>
      <c r="F192" s="9">
        <v>17</v>
      </c>
      <c r="G192" s="9">
        <v>13</v>
      </c>
      <c r="H192" s="9">
        <v>84</v>
      </c>
      <c r="I192" s="9">
        <v>864</v>
      </c>
      <c r="J192" s="9">
        <v>88</v>
      </c>
      <c r="K192" s="9">
        <v>0</v>
      </c>
      <c r="L192" s="9">
        <v>28</v>
      </c>
      <c r="M192" s="9">
        <v>3</v>
      </c>
      <c r="N192" s="9">
        <v>4446</v>
      </c>
      <c r="O192" s="9">
        <v>2006</v>
      </c>
      <c r="P192" s="403">
        <v>9.0789871885403009E-4</v>
      </c>
      <c r="Q192" s="404">
        <v>-3.2433184855233853E-2</v>
      </c>
    </row>
    <row r="193" spans="1:23" ht="13.65" customHeight="1" x14ac:dyDescent="0.3">
      <c r="A193" s="5" t="s">
        <v>23</v>
      </c>
      <c r="B193" s="9">
        <f t="shared" ref="B193:O193" si="63">B191-B192</f>
        <v>-1496</v>
      </c>
      <c r="C193" s="9">
        <f t="shared" si="63"/>
        <v>-453</v>
      </c>
      <c r="D193" s="9">
        <f t="shared" si="63"/>
        <v>-58</v>
      </c>
      <c r="E193" s="9">
        <f t="shared" si="63"/>
        <v>2</v>
      </c>
      <c r="F193" s="9">
        <f t="shared" si="63"/>
        <v>11</v>
      </c>
      <c r="G193" s="9">
        <f t="shared" si="63"/>
        <v>1</v>
      </c>
      <c r="H193" s="9">
        <f t="shared" si="63"/>
        <v>10</v>
      </c>
      <c r="I193" s="9">
        <f t="shared" si="63"/>
        <v>-4</v>
      </c>
      <c r="J193" s="9">
        <f t="shared" si="63"/>
        <v>14</v>
      </c>
      <c r="K193" s="9">
        <f t="shared" si="63"/>
        <v>62</v>
      </c>
      <c r="L193" s="9">
        <f t="shared" si="63"/>
        <v>30</v>
      </c>
      <c r="M193" s="30">
        <f t="shared" si="63"/>
        <v>-3</v>
      </c>
      <c r="N193" s="9">
        <f t="shared" si="63"/>
        <v>-385</v>
      </c>
      <c r="O193" s="9">
        <f t="shared" si="63"/>
        <v>-881</v>
      </c>
      <c r="P193" s="19"/>
      <c r="Q193" s="121"/>
    </row>
    <row r="194" spans="1:23" ht="13.65" customHeight="1" thickBot="1" x14ac:dyDescent="0.3"/>
    <row r="195" spans="1:23" ht="13.65" customHeight="1" x14ac:dyDescent="0.25">
      <c r="B195" s="368"/>
      <c r="C195" s="369"/>
      <c r="D195" s="369"/>
      <c r="E195" s="369"/>
      <c r="F195" s="369"/>
      <c r="G195" s="369"/>
      <c r="H195" s="369"/>
      <c r="I195" s="369"/>
      <c r="J195" s="369"/>
      <c r="K195" s="370"/>
    </row>
    <row r="196" spans="1:23" ht="18" x14ac:dyDescent="0.25">
      <c r="B196" s="371"/>
      <c r="C196" s="3" t="s">
        <v>170</v>
      </c>
      <c r="F196" s="335" t="s">
        <v>178</v>
      </c>
      <c r="K196" s="372"/>
    </row>
    <row r="197" spans="1:23" ht="13.65" customHeight="1" thickBot="1" x14ac:dyDescent="0.3">
      <c r="B197" s="373"/>
      <c r="C197" s="374"/>
      <c r="D197" s="374"/>
      <c r="E197" s="374"/>
      <c r="F197" s="374"/>
      <c r="G197" s="374"/>
      <c r="H197" s="374"/>
      <c r="I197" s="374"/>
      <c r="J197" s="374"/>
      <c r="K197" s="375"/>
    </row>
    <row r="199" spans="1:23" ht="13.65" customHeight="1" x14ac:dyDescent="0.3">
      <c r="A199" s="122" t="s">
        <v>0</v>
      </c>
      <c r="B199" s="26" t="s">
        <v>1</v>
      </c>
      <c r="C199" s="26" t="s">
        <v>2</v>
      </c>
      <c r="D199" s="26" t="s">
        <v>3</v>
      </c>
      <c r="E199" s="26" t="s">
        <v>4</v>
      </c>
      <c r="F199" s="26" t="s">
        <v>5</v>
      </c>
      <c r="G199" s="26" t="s">
        <v>45</v>
      </c>
      <c r="H199" s="26" t="s">
        <v>46</v>
      </c>
      <c r="I199" s="26" t="s">
        <v>48</v>
      </c>
      <c r="J199" s="26" t="s">
        <v>47</v>
      </c>
      <c r="K199" s="26" t="s">
        <v>91</v>
      </c>
      <c r="L199" s="26" t="s">
        <v>6</v>
      </c>
      <c r="M199" s="393" t="s">
        <v>7</v>
      </c>
      <c r="N199" s="122" t="s">
        <v>8</v>
      </c>
      <c r="O199" s="26" t="s">
        <v>10</v>
      </c>
      <c r="P199" s="26" t="s">
        <v>1</v>
      </c>
      <c r="Q199" s="26" t="s">
        <v>9</v>
      </c>
      <c r="S199" s="101" t="s">
        <v>129</v>
      </c>
      <c r="T199" s="101" t="s">
        <v>130</v>
      </c>
      <c r="V199" s="101" t="s">
        <v>129</v>
      </c>
      <c r="W199" s="101" t="s">
        <v>130</v>
      </c>
    </row>
    <row r="200" spans="1:23" ht="13.65" customHeight="1" x14ac:dyDescent="0.3">
      <c r="A200" t="s">
        <v>11</v>
      </c>
      <c r="B200" s="10">
        <v>2010</v>
      </c>
      <c r="C200" s="10">
        <v>686</v>
      </c>
      <c r="D200" s="10">
        <v>71</v>
      </c>
      <c r="E200" s="10">
        <v>0</v>
      </c>
      <c r="F200" s="10">
        <v>10</v>
      </c>
      <c r="G200" s="10">
        <v>1</v>
      </c>
      <c r="H200" s="10">
        <v>0</v>
      </c>
      <c r="I200" s="10">
        <v>0</v>
      </c>
      <c r="J200" s="10">
        <v>0</v>
      </c>
      <c r="K200" s="10">
        <v>0</v>
      </c>
      <c r="L200" s="10">
        <v>2</v>
      </c>
      <c r="M200" s="31">
        <v>0</v>
      </c>
      <c r="N200" s="10">
        <f>SUM(C200:L200)</f>
        <v>770</v>
      </c>
      <c r="O200" s="10">
        <f>D200*12+F200*8</f>
        <v>932</v>
      </c>
      <c r="P200" s="395">
        <f t="shared" ref="P200:Q212" si="64">S200/V200</f>
        <v>1.5151515151515152E-2</v>
      </c>
      <c r="Q200" s="396">
        <f t="shared" si="64"/>
        <v>6.5006915629322273E-2</v>
      </c>
      <c r="S200" s="143">
        <f t="shared" ref="S200:S211" si="65">B200-V200</f>
        <v>30</v>
      </c>
      <c r="T200" s="143">
        <f t="shared" ref="T200:T211" si="66">N200-W200</f>
        <v>47</v>
      </c>
      <c r="V200" s="107">
        <v>1980</v>
      </c>
      <c r="W200" s="107">
        <v>723</v>
      </c>
    </row>
    <row r="201" spans="1:23" ht="13.65" customHeight="1" x14ac:dyDescent="0.3">
      <c r="A201" t="s">
        <v>12</v>
      </c>
      <c r="B201" s="10">
        <v>1983</v>
      </c>
      <c r="C201" s="10">
        <v>685</v>
      </c>
      <c r="D201" s="10">
        <v>44</v>
      </c>
      <c r="E201" s="10">
        <v>0</v>
      </c>
      <c r="F201" s="10">
        <v>14</v>
      </c>
      <c r="G201" s="10">
        <v>0</v>
      </c>
      <c r="H201" s="10">
        <v>0</v>
      </c>
      <c r="I201" s="14">
        <v>0</v>
      </c>
      <c r="J201" s="10">
        <v>0</v>
      </c>
      <c r="K201" s="10">
        <v>0</v>
      </c>
      <c r="L201" s="10">
        <v>1</v>
      </c>
      <c r="M201" s="31">
        <v>0</v>
      </c>
      <c r="N201" s="10">
        <f>SUM(C201:L201)</f>
        <v>744</v>
      </c>
      <c r="O201" s="10">
        <v>640</v>
      </c>
      <c r="P201" s="395">
        <f t="shared" si="64"/>
        <v>6.3841201716738197E-2</v>
      </c>
      <c r="Q201" s="396">
        <f t="shared" si="64"/>
        <v>0.13761467889908258</v>
      </c>
      <c r="S201" s="143">
        <f t="shared" si="65"/>
        <v>119</v>
      </c>
      <c r="T201" s="143">
        <f t="shared" si="66"/>
        <v>90</v>
      </c>
      <c r="V201" s="107">
        <v>1864</v>
      </c>
      <c r="W201" s="107">
        <v>654</v>
      </c>
    </row>
    <row r="202" spans="1:23" ht="13.65" customHeight="1" x14ac:dyDescent="0.3">
      <c r="A202" t="s">
        <v>13</v>
      </c>
      <c r="B202" s="10">
        <f>407+1313</f>
        <v>1720</v>
      </c>
      <c r="C202" s="10">
        <f>140+482</f>
        <v>622</v>
      </c>
      <c r="D202" s="10">
        <f>20+35</f>
        <v>55</v>
      </c>
      <c r="E202" s="10">
        <v>0</v>
      </c>
      <c r="F202" s="10">
        <f>4+2</f>
        <v>6</v>
      </c>
      <c r="G202" s="10">
        <v>0</v>
      </c>
      <c r="H202" s="14">
        <v>1</v>
      </c>
      <c r="I202" s="14">
        <v>3</v>
      </c>
      <c r="J202" s="10">
        <v>0</v>
      </c>
      <c r="K202" s="10">
        <v>0</v>
      </c>
      <c r="L202" s="10">
        <v>0</v>
      </c>
      <c r="M202" s="31">
        <v>0</v>
      </c>
      <c r="N202" s="10">
        <f>SUM(C202:M202)</f>
        <v>687</v>
      </c>
      <c r="O202" s="10">
        <f>40+394</f>
        <v>434</v>
      </c>
      <c r="P202" s="395">
        <f t="shared" si="64"/>
        <v>-0.23316986179224253</v>
      </c>
      <c r="Q202" s="396">
        <f t="shared" si="64"/>
        <v>-0.31709741550695825</v>
      </c>
      <c r="S202" s="143">
        <f t="shared" si="65"/>
        <v>-523</v>
      </c>
      <c r="T202" s="143">
        <f t="shared" si="66"/>
        <v>-319</v>
      </c>
      <c r="V202" s="107">
        <v>2243</v>
      </c>
      <c r="W202" s="107">
        <v>1006</v>
      </c>
    </row>
    <row r="203" spans="1:23" ht="13.65" customHeight="1" x14ac:dyDescent="0.3">
      <c r="A203" t="s">
        <v>14</v>
      </c>
      <c r="B203" s="10">
        <v>2030</v>
      </c>
      <c r="C203" s="10">
        <v>700</v>
      </c>
      <c r="D203" s="10">
        <v>71</v>
      </c>
      <c r="E203" s="10">
        <v>0</v>
      </c>
      <c r="F203" s="10">
        <v>7</v>
      </c>
      <c r="G203" s="10">
        <v>0</v>
      </c>
      <c r="H203" s="10">
        <v>5</v>
      </c>
      <c r="I203" s="14">
        <v>1</v>
      </c>
      <c r="J203" s="10">
        <v>2</v>
      </c>
      <c r="K203" s="10">
        <v>0</v>
      </c>
      <c r="L203" s="10">
        <v>2</v>
      </c>
      <c r="M203" s="31">
        <v>0</v>
      </c>
      <c r="N203" s="10">
        <f>SUM(C203:L203)</f>
        <v>788</v>
      </c>
      <c r="O203" s="10">
        <f>D203*12+F203*8</f>
        <v>908</v>
      </c>
      <c r="P203" s="395">
        <f t="shared" si="64"/>
        <v>-0.386892177589852</v>
      </c>
      <c r="Q203" s="396">
        <f t="shared" si="64"/>
        <v>-0.29390681003584229</v>
      </c>
      <c r="S203" s="143">
        <f t="shared" si="65"/>
        <v>-1281</v>
      </c>
      <c r="T203" s="143">
        <f t="shared" si="66"/>
        <v>-328</v>
      </c>
      <c r="V203" s="107">
        <v>3311</v>
      </c>
      <c r="W203" s="107">
        <v>1116</v>
      </c>
    </row>
    <row r="204" spans="1:23" ht="13.65" customHeight="1" x14ac:dyDescent="0.3">
      <c r="A204" t="s">
        <v>15</v>
      </c>
      <c r="B204" s="10">
        <v>3146</v>
      </c>
      <c r="C204" s="10">
        <v>1034</v>
      </c>
      <c r="D204" s="10">
        <v>73</v>
      </c>
      <c r="E204" s="10">
        <v>0</v>
      </c>
      <c r="F204" s="10">
        <v>10</v>
      </c>
      <c r="G204" s="10">
        <v>0</v>
      </c>
      <c r="H204" s="10">
        <v>12</v>
      </c>
      <c r="I204" s="14">
        <v>12</v>
      </c>
      <c r="J204" s="10">
        <v>3</v>
      </c>
      <c r="K204" s="10">
        <v>98</v>
      </c>
      <c r="L204" s="10">
        <v>3</v>
      </c>
      <c r="M204" s="31">
        <v>0</v>
      </c>
      <c r="N204" s="10">
        <f>SUM(C204:L204)</f>
        <v>1245</v>
      </c>
      <c r="O204" s="10">
        <f t="shared" ref="O204:O206" si="67">D204*12+F204*8</f>
        <v>956</v>
      </c>
      <c r="P204" s="395">
        <f t="shared" si="64"/>
        <v>7.8875171467764058E-2</v>
      </c>
      <c r="Q204" s="396">
        <f t="shared" si="64"/>
        <v>2.3848684210526317E-2</v>
      </c>
      <c r="S204" s="143">
        <f t="shared" si="65"/>
        <v>230</v>
      </c>
      <c r="T204" s="143">
        <f t="shared" si="66"/>
        <v>29</v>
      </c>
      <c r="V204" s="107">
        <v>2916</v>
      </c>
      <c r="W204" s="107">
        <v>1216</v>
      </c>
    </row>
    <row r="205" spans="1:23" ht="13.65" customHeight="1" x14ac:dyDescent="0.3">
      <c r="A205" t="s">
        <v>16</v>
      </c>
      <c r="B205" s="10">
        <v>4821</v>
      </c>
      <c r="C205" s="10">
        <v>1332</v>
      </c>
      <c r="D205" s="10">
        <v>87</v>
      </c>
      <c r="E205" s="10">
        <v>1</v>
      </c>
      <c r="F205" s="10">
        <v>12</v>
      </c>
      <c r="G205" s="10">
        <v>6</v>
      </c>
      <c r="H205" s="10">
        <v>46</v>
      </c>
      <c r="I205" s="14">
        <v>224</v>
      </c>
      <c r="J205" s="10">
        <v>30</v>
      </c>
      <c r="K205" s="10">
        <v>0</v>
      </c>
      <c r="L205" s="10">
        <v>5</v>
      </c>
      <c r="M205" s="31">
        <v>0</v>
      </c>
      <c r="N205" s="10">
        <f t="shared" ref="N205:N211" si="68">SUM(C205:L205)</f>
        <v>1743</v>
      </c>
      <c r="O205" s="10">
        <f t="shared" si="67"/>
        <v>1140</v>
      </c>
      <c r="P205" s="395">
        <f t="shared" si="64"/>
        <v>2.5744680851063829E-2</v>
      </c>
      <c r="Q205" s="396">
        <f t="shared" si="64"/>
        <v>-0.13369781312127235</v>
      </c>
      <c r="S205" s="143">
        <f t="shared" si="65"/>
        <v>121</v>
      </c>
      <c r="T205" s="143">
        <f t="shared" si="66"/>
        <v>-269</v>
      </c>
      <c r="V205" s="107">
        <v>4700</v>
      </c>
      <c r="W205" s="107">
        <v>2012</v>
      </c>
    </row>
    <row r="206" spans="1:23" ht="13.65" customHeight="1" x14ac:dyDescent="0.3">
      <c r="A206" t="s">
        <v>17</v>
      </c>
      <c r="B206" s="10">
        <v>7207</v>
      </c>
      <c r="C206" s="10">
        <v>1705</v>
      </c>
      <c r="D206" s="10">
        <v>67</v>
      </c>
      <c r="E206" s="10">
        <v>3</v>
      </c>
      <c r="F206" s="10">
        <v>7</v>
      </c>
      <c r="G206" s="10">
        <v>11</v>
      </c>
      <c r="H206" s="10">
        <v>211</v>
      </c>
      <c r="I206" s="10">
        <v>694</v>
      </c>
      <c r="J206" s="10">
        <v>56</v>
      </c>
      <c r="K206" s="10">
        <v>62</v>
      </c>
      <c r="L206" s="10">
        <v>14</v>
      </c>
      <c r="M206" s="31">
        <v>0</v>
      </c>
      <c r="N206" s="10">
        <f t="shared" si="68"/>
        <v>2830</v>
      </c>
      <c r="O206" s="10">
        <f t="shared" si="67"/>
        <v>860</v>
      </c>
      <c r="P206" s="395">
        <f t="shared" si="64"/>
        <v>0.1520140664961637</v>
      </c>
      <c r="Q206" s="396">
        <f t="shared" si="64"/>
        <v>2.573396158028271E-2</v>
      </c>
      <c r="S206" s="143">
        <f t="shared" si="65"/>
        <v>951</v>
      </c>
      <c r="T206" s="143">
        <f t="shared" si="66"/>
        <v>71</v>
      </c>
      <c r="V206" s="107">
        <v>6256</v>
      </c>
      <c r="W206" s="107">
        <v>2759</v>
      </c>
    </row>
    <row r="207" spans="1:23" ht="13.65" customHeight="1" x14ac:dyDescent="0.3">
      <c r="A207" t="s">
        <v>18</v>
      </c>
      <c r="B207" s="10"/>
      <c r="C207" s="10"/>
      <c r="D207" s="10"/>
      <c r="E207" s="10"/>
      <c r="F207" s="10"/>
      <c r="G207" s="10"/>
      <c r="H207" s="10"/>
      <c r="I207" s="14"/>
      <c r="J207" s="10"/>
      <c r="K207" s="10"/>
      <c r="L207" s="10"/>
      <c r="M207" s="31"/>
      <c r="N207" s="10">
        <f t="shared" si="68"/>
        <v>0</v>
      </c>
      <c r="O207" s="10"/>
      <c r="P207" s="395">
        <f t="shared" si="64"/>
        <v>-1</v>
      </c>
      <c r="Q207" s="396">
        <f t="shared" si="64"/>
        <v>-1</v>
      </c>
      <c r="S207" s="143">
        <f t="shared" si="65"/>
        <v>-6039</v>
      </c>
      <c r="T207" s="143">
        <f t="shared" si="66"/>
        <v>-2140</v>
      </c>
      <c r="V207" s="107">
        <v>6039</v>
      </c>
      <c r="W207" s="107">
        <v>2140</v>
      </c>
    </row>
    <row r="208" spans="1:23" ht="13.65" customHeight="1" x14ac:dyDescent="0.3">
      <c r="A208" t="s">
        <v>19</v>
      </c>
      <c r="B208" s="10"/>
      <c r="C208" s="10"/>
      <c r="D208" s="10"/>
      <c r="E208" s="10"/>
      <c r="F208" s="10"/>
      <c r="G208" s="10"/>
      <c r="H208" s="10"/>
      <c r="I208" s="14"/>
      <c r="J208" s="10"/>
      <c r="K208" s="10"/>
      <c r="L208" s="10"/>
      <c r="M208" s="31"/>
      <c r="N208" s="10">
        <f t="shared" si="68"/>
        <v>0</v>
      </c>
      <c r="O208" s="10"/>
      <c r="P208" s="395">
        <f t="shared" si="64"/>
        <v>-1</v>
      </c>
      <c r="Q208" s="396">
        <f t="shared" si="64"/>
        <v>-1</v>
      </c>
      <c r="S208" s="143">
        <f t="shared" si="65"/>
        <v>-2524</v>
      </c>
      <c r="T208" s="143">
        <f t="shared" si="66"/>
        <v>-1298</v>
      </c>
      <c r="V208" s="107">
        <v>2524</v>
      </c>
      <c r="W208" s="107">
        <v>1298</v>
      </c>
    </row>
    <row r="209" spans="1:23" ht="13.65" customHeight="1" x14ac:dyDescent="0.3">
      <c r="A209" t="s">
        <v>20</v>
      </c>
      <c r="B209" s="10"/>
      <c r="C209" s="10"/>
      <c r="D209" s="10"/>
      <c r="E209" s="10"/>
      <c r="F209" s="10"/>
      <c r="G209" s="10"/>
      <c r="H209" s="10"/>
      <c r="I209" s="14"/>
      <c r="J209" s="10"/>
      <c r="K209" s="10"/>
      <c r="L209" s="10"/>
      <c r="M209" s="31"/>
      <c r="N209" s="10">
        <f t="shared" si="68"/>
        <v>0</v>
      </c>
      <c r="O209" s="10"/>
      <c r="P209" s="395">
        <f t="shared" si="64"/>
        <v>-1</v>
      </c>
      <c r="Q209" s="396">
        <f t="shared" si="64"/>
        <v>-1</v>
      </c>
      <c r="S209" s="143">
        <f t="shared" si="65"/>
        <v>-2820</v>
      </c>
      <c r="T209" s="143">
        <f t="shared" si="66"/>
        <v>-1100</v>
      </c>
      <c r="V209" s="107">
        <v>2820</v>
      </c>
      <c r="W209" s="107">
        <v>1100</v>
      </c>
    </row>
    <row r="210" spans="1:23" ht="13.65" customHeight="1" x14ac:dyDescent="0.3">
      <c r="A210" t="s">
        <v>21</v>
      </c>
      <c r="B210" s="10"/>
      <c r="C210" s="10"/>
      <c r="D210" s="10"/>
      <c r="E210" s="10"/>
      <c r="F210" s="10"/>
      <c r="G210" s="10"/>
      <c r="H210" s="10"/>
      <c r="I210" s="10"/>
      <c r="J210" s="10"/>
      <c r="K210" s="10"/>
      <c r="L210" s="10"/>
      <c r="M210" s="31"/>
      <c r="N210" s="10">
        <f t="shared" si="68"/>
        <v>0</v>
      </c>
      <c r="O210" s="10"/>
      <c r="P210" s="395">
        <f t="shared" si="64"/>
        <v>-1</v>
      </c>
      <c r="Q210" s="396">
        <f t="shared" si="64"/>
        <v>-1</v>
      </c>
      <c r="S210" s="143">
        <f t="shared" si="65"/>
        <v>-1545</v>
      </c>
      <c r="T210" s="143">
        <f t="shared" si="66"/>
        <v>-921</v>
      </c>
      <c r="V210" s="107">
        <v>1545</v>
      </c>
      <c r="W210" s="107">
        <v>921</v>
      </c>
    </row>
    <row r="211" spans="1:23" ht="13.65" customHeight="1" x14ac:dyDescent="0.3">
      <c r="A211" s="4" t="s">
        <v>22</v>
      </c>
      <c r="B211" s="11"/>
      <c r="C211" s="11"/>
      <c r="D211" s="11"/>
      <c r="E211" s="11"/>
      <c r="F211" s="11"/>
      <c r="G211" s="15"/>
      <c r="H211" s="15"/>
      <c r="I211" s="15"/>
      <c r="J211" s="15"/>
      <c r="K211" s="15"/>
      <c r="L211" s="11"/>
      <c r="M211" s="30"/>
      <c r="N211" s="11">
        <f t="shared" si="68"/>
        <v>0</v>
      </c>
      <c r="O211" s="11"/>
      <c r="P211" s="397">
        <f t="shared" si="64"/>
        <v>-1</v>
      </c>
      <c r="Q211" s="398">
        <f t="shared" si="64"/>
        <v>-1</v>
      </c>
      <c r="S211" s="169">
        <f t="shared" si="65"/>
        <v>-2166</v>
      </c>
      <c r="T211" s="169">
        <f t="shared" si="66"/>
        <v>-828</v>
      </c>
      <c r="V211" s="108">
        <v>2166</v>
      </c>
      <c r="W211" s="108">
        <v>828</v>
      </c>
    </row>
    <row r="212" spans="1:23" ht="13.65" customHeight="1" x14ac:dyDescent="0.3">
      <c r="A212" s="3" t="s">
        <v>137</v>
      </c>
      <c r="B212" s="8">
        <f t="shared" ref="B212:O212" si="69">SUM(B200:B211)</f>
        <v>22917</v>
      </c>
      <c r="C212" s="8">
        <f t="shared" si="69"/>
        <v>6764</v>
      </c>
      <c r="D212" s="8">
        <f t="shared" si="69"/>
        <v>468</v>
      </c>
      <c r="E212" s="8">
        <f t="shared" si="69"/>
        <v>4</v>
      </c>
      <c r="F212" s="8">
        <f t="shared" si="69"/>
        <v>66</v>
      </c>
      <c r="G212" s="8">
        <f t="shared" si="69"/>
        <v>18</v>
      </c>
      <c r="H212" s="8">
        <f t="shared" si="69"/>
        <v>275</v>
      </c>
      <c r="I212" s="8">
        <f t="shared" si="69"/>
        <v>934</v>
      </c>
      <c r="J212" s="8">
        <f t="shared" si="69"/>
        <v>91</v>
      </c>
      <c r="K212" s="8">
        <f t="shared" si="69"/>
        <v>160</v>
      </c>
      <c r="L212" s="8">
        <f t="shared" si="69"/>
        <v>27</v>
      </c>
      <c r="M212" s="31">
        <f t="shared" si="69"/>
        <v>0</v>
      </c>
      <c r="N212" s="8">
        <f t="shared" si="69"/>
        <v>8807</v>
      </c>
      <c r="O212" s="8">
        <f t="shared" si="69"/>
        <v>5870</v>
      </c>
      <c r="P212" s="399">
        <f t="shared" si="64"/>
        <v>-0.40264310290897715</v>
      </c>
      <c r="Q212" s="399">
        <f t="shared" si="64"/>
        <v>-0.44164077854561595</v>
      </c>
      <c r="S212" s="143">
        <f>SUM(S200:S211)</f>
        <v>-15447</v>
      </c>
      <c r="T212" s="143">
        <f>SUM(T200:T211)</f>
        <v>-6966</v>
      </c>
      <c r="V212" s="12">
        <f>SUM(V200:V211)</f>
        <v>38364</v>
      </c>
      <c r="W212" s="12">
        <f>SUM(W200:W211)</f>
        <v>15773</v>
      </c>
    </row>
    <row r="213" spans="1:23" ht="13.65" customHeight="1" x14ac:dyDescent="0.3">
      <c r="A213" s="5" t="s">
        <v>131</v>
      </c>
      <c r="B213" s="9">
        <v>38364</v>
      </c>
      <c r="C213" s="9">
        <v>12493</v>
      </c>
      <c r="D213" s="9">
        <v>549</v>
      </c>
      <c r="E213" s="9">
        <v>31</v>
      </c>
      <c r="F213" s="9">
        <v>179</v>
      </c>
      <c r="G213" s="9">
        <v>43</v>
      </c>
      <c r="H213" s="9">
        <v>177</v>
      </c>
      <c r="I213" s="9">
        <v>1666</v>
      </c>
      <c r="J213" s="9">
        <v>152</v>
      </c>
      <c r="K213" s="9">
        <v>155</v>
      </c>
      <c r="L213" s="9">
        <v>328</v>
      </c>
      <c r="M213" s="9">
        <v>2</v>
      </c>
      <c r="N213" s="9">
        <v>15773</v>
      </c>
      <c r="O213" s="9">
        <v>9337</v>
      </c>
      <c r="P213" s="248">
        <v>-4.4090395961575331E-3</v>
      </c>
      <c r="Q213" s="248">
        <v>-2.0640656581123292E-2</v>
      </c>
    </row>
    <row r="214" spans="1:23" ht="13.65" customHeight="1" x14ac:dyDescent="0.3">
      <c r="A214" s="5" t="s">
        <v>23</v>
      </c>
      <c r="B214" s="9">
        <f t="shared" ref="B214:O214" si="70">B212-B213</f>
        <v>-15447</v>
      </c>
      <c r="C214" s="9">
        <f t="shared" si="70"/>
        <v>-5729</v>
      </c>
      <c r="D214" s="9">
        <f t="shared" si="70"/>
        <v>-81</v>
      </c>
      <c r="E214" s="9">
        <f t="shared" si="70"/>
        <v>-27</v>
      </c>
      <c r="F214" s="9">
        <f t="shared" si="70"/>
        <v>-113</v>
      </c>
      <c r="G214" s="9">
        <f t="shared" si="70"/>
        <v>-25</v>
      </c>
      <c r="H214" s="9">
        <f t="shared" si="70"/>
        <v>98</v>
      </c>
      <c r="I214" s="9">
        <f t="shared" si="70"/>
        <v>-732</v>
      </c>
      <c r="J214" s="9">
        <f t="shared" si="70"/>
        <v>-61</v>
      </c>
      <c r="K214" s="9">
        <f t="shared" si="70"/>
        <v>5</v>
      </c>
      <c r="L214" s="9">
        <f t="shared" si="70"/>
        <v>-301</v>
      </c>
      <c r="M214" s="30">
        <f t="shared" si="70"/>
        <v>-2</v>
      </c>
      <c r="N214" s="9">
        <f t="shared" si="70"/>
        <v>-6966</v>
      </c>
      <c r="O214" s="9">
        <f t="shared" si="70"/>
        <v>-3467</v>
      </c>
      <c r="P214" s="19"/>
      <c r="Q214" s="19"/>
    </row>
    <row r="215" spans="1:23" ht="13.65" customHeight="1" thickBot="1" x14ac:dyDescent="0.3"/>
    <row r="216" spans="1:23" ht="13.65" customHeight="1" x14ac:dyDescent="0.25">
      <c r="B216" s="368"/>
      <c r="C216" s="369"/>
      <c r="D216" s="369"/>
      <c r="E216" s="369"/>
      <c r="F216" s="369"/>
      <c r="G216" s="369"/>
      <c r="H216" s="369"/>
      <c r="I216" s="369"/>
      <c r="J216" s="370"/>
    </row>
    <row r="217" spans="1:23" ht="18" x14ac:dyDescent="0.25">
      <c r="B217" s="371"/>
      <c r="C217" s="3" t="s">
        <v>173</v>
      </c>
      <c r="F217" s="335" t="s">
        <v>178</v>
      </c>
      <c r="J217" s="372"/>
    </row>
    <row r="218" spans="1:23" ht="13.65" customHeight="1" thickBot="1" x14ac:dyDescent="0.3">
      <c r="B218" s="373"/>
      <c r="C218" s="400"/>
      <c r="D218" s="374"/>
      <c r="E218" s="374"/>
      <c r="F218" s="401"/>
      <c r="G218" s="374"/>
      <c r="H218" s="374"/>
      <c r="I218" s="374"/>
      <c r="J218" s="375"/>
    </row>
    <row r="220" spans="1:23" ht="13.65" customHeight="1" x14ac:dyDescent="0.3">
      <c r="A220" s="1" t="s">
        <v>0</v>
      </c>
      <c r="B220" s="2" t="s">
        <v>1</v>
      </c>
      <c r="C220" s="2" t="s">
        <v>2</v>
      </c>
      <c r="D220" s="2" t="s">
        <v>3</v>
      </c>
      <c r="E220" s="2" t="s">
        <v>4</v>
      </c>
      <c r="F220" s="2" t="s">
        <v>5</v>
      </c>
      <c r="G220" s="2" t="s">
        <v>45</v>
      </c>
      <c r="H220" s="2" t="s">
        <v>46</v>
      </c>
      <c r="I220" s="2" t="s">
        <v>48</v>
      </c>
      <c r="J220" s="2" t="s">
        <v>47</v>
      </c>
      <c r="K220" s="26" t="s">
        <v>91</v>
      </c>
      <c r="L220" s="2" t="s">
        <v>6</v>
      </c>
      <c r="M220" s="32" t="s">
        <v>7</v>
      </c>
      <c r="N220" s="1" t="s">
        <v>8</v>
      </c>
      <c r="O220" s="2" t="s">
        <v>25</v>
      </c>
      <c r="P220" s="2" t="s">
        <v>1</v>
      </c>
      <c r="Q220" s="6" t="s">
        <v>9</v>
      </c>
      <c r="S220" s="101" t="s">
        <v>129</v>
      </c>
      <c r="T220" s="101" t="s">
        <v>130</v>
      </c>
      <c r="U220" s="102"/>
      <c r="V220" s="101" t="s">
        <v>103</v>
      </c>
      <c r="W220" s="101" t="s">
        <v>104</v>
      </c>
    </row>
    <row r="221" spans="1:23" ht="13.65" customHeight="1" x14ac:dyDescent="0.3">
      <c r="A221" t="s">
        <v>11</v>
      </c>
      <c r="B221" s="10">
        <v>1921</v>
      </c>
      <c r="C221" s="10">
        <v>670</v>
      </c>
      <c r="D221" s="10">
        <v>86</v>
      </c>
      <c r="E221" s="10">
        <v>0</v>
      </c>
      <c r="F221" s="10">
        <v>13</v>
      </c>
      <c r="G221" s="10">
        <v>0</v>
      </c>
      <c r="H221" s="10">
        <v>1</v>
      </c>
      <c r="I221" s="10">
        <v>0</v>
      </c>
      <c r="J221" s="10">
        <v>0</v>
      </c>
      <c r="K221" s="10">
        <v>0</v>
      </c>
      <c r="L221" s="10">
        <v>2</v>
      </c>
      <c r="M221" s="31">
        <v>0</v>
      </c>
      <c r="N221" s="10">
        <f>SUM(C221:L221)</f>
        <v>772</v>
      </c>
      <c r="O221" s="10">
        <f>(D221*12+F221*8)</f>
        <v>1136</v>
      </c>
      <c r="P221" s="285">
        <f>S221/V221</f>
        <v>1.8018018018018018E-2</v>
      </c>
      <c r="Q221" s="286">
        <f>T221/W221</f>
        <v>5.6087551299589603E-2</v>
      </c>
      <c r="S221" s="143">
        <f t="shared" ref="S221:S232" si="71">B221-V221</f>
        <v>34</v>
      </c>
      <c r="T221" s="143">
        <f>N221-W221</f>
        <v>41</v>
      </c>
      <c r="V221" s="107">
        <v>1887</v>
      </c>
      <c r="W221" s="107">
        <v>731</v>
      </c>
    </row>
    <row r="222" spans="1:23" ht="13.65" customHeight="1" x14ac:dyDescent="0.3">
      <c r="A222" t="s">
        <v>12</v>
      </c>
      <c r="B222" s="10">
        <v>1978</v>
      </c>
      <c r="C222" s="10">
        <v>677</v>
      </c>
      <c r="D222" s="10">
        <v>60</v>
      </c>
      <c r="E222" s="10">
        <v>0</v>
      </c>
      <c r="F222" s="10">
        <v>31</v>
      </c>
      <c r="G222" s="10">
        <v>0</v>
      </c>
      <c r="H222" s="10">
        <v>0</v>
      </c>
      <c r="I222" s="10">
        <v>0</v>
      </c>
      <c r="J222" s="10">
        <v>0</v>
      </c>
      <c r="K222" s="10">
        <v>0</v>
      </c>
      <c r="L222" s="10">
        <v>0</v>
      </c>
      <c r="M222" s="31">
        <v>0</v>
      </c>
      <c r="N222" s="10">
        <f>SUM(C222:L222)</f>
        <v>768</v>
      </c>
      <c r="O222" s="10">
        <f>(D222*12+F222*8)</f>
        <v>968</v>
      </c>
      <c r="P222" s="285">
        <f>S222/V222</f>
        <v>4.8224695283518811E-2</v>
      </c>
      <c r="Q222" s="287">
        <f>T222/W222</f>
        <v>9.4017094017094016E-2</v>
      </c>
      <c r="S222" s="143">
        <f t="shared" si="71"/>
        <v>91</v>
      </c>
      <c r="T222" s="143">
        <f t="shared" ref="T222:T232" si="72">N222-W222</f>
        <v>66</v>
      </c>
      <c r="V222" s="107">
        <v>1887</v>
      </c>
      <c r="W222" s="107">
        <v>702</v>
      </c>
    </row>
    <row r="223" spans="1:23" ht="13.65" customHeight="1" x14ac:dyDescent="0.3">
      <c r="A223" t="s">
        <v>13</v>
      </c>
      <c r="B223" s="10">
        <v>1873</v>
      </c>
      <c r="C223" s="10">
        <v>688</v>
      </c>
      <c r="D223" s="10">
        <v>80</v>
      </c>
      <c r="E223" s="10">
        <v>0</v>
      </c>
      <c r="F223" s="10">
        <v>16</v>
      </c>
      <c r="G223" s="10">
        <v>0</v>
      </c>
      <c r="H223" s="10">
        <v>4</v>
      </c>
      <c r="I223" s="10">
        <v>1</v>
      </c>
      <c r="J223" s="10">
        <v>0</v>
      </c>
      <c r="K223" s="10">
        <v>31</v>
      </c>
      <c r="L223" s="10">
        <v>1</v>
      </c>
      <c r="M223" s="31">
        <v>0</v>
      </c>
      <c r="N223" s="10">
        <f>SUM(C223:L223)</f>
        <v>821</v>
      </c>
      <c r="O223" s="10">
        <v>1276</v>
      </c>
      <c r="P223" s="285">
        <f t="shared" ref="P223:Q233" si="73">S223/V223</f>
        <v>-0.16755555555555557</v>
      </c>
      <c r="Q223" s="287">
        <f>T223/W223</f>
        <v>-0.13578947368421052</v>
      </c>
      <c r="S223" s="143">
        <f t="shared" si="71"/>
        <v>-377</v>
      </c>
      <c r="T223" s="143">
        <f t="shared" si="72"/>
        <v>-129</v>
      </c>
      <c r="V223" s="107">
        <v>2250</v>
      </c>
      <c r="W223" s="107">
        <v>950</v>
      </c>
    </row>
    <row r="224" spans="1:23" ht="13.65" customHeight="1" x14ac:dyDescent="0.3">
      <c r="A224" t="s">
        <v>14</v>
      </c>
      <c r="B224" s="10">
        <v>2028</v>
      </c>
      <c r="C224" s="10">
        <v>678</v>
      </c>
      <c r="D224" s="10">
        <v>86</v>
      </c>
      <c r="E224" s="10">
        <v>0</v>
      </c>
      <c r="F224" s="10">
        <v>22</v>
      </c>
      <c r="G224" s="10">
        <v>0</v>
      </c>
      <c r="H224" s="10">
        <v>3</v>
      </c>
      <c r="I224" s="10">
        <v>1</v>
      </c>
      <c r="J224" s="10">
        <v>2</v>
      </c>
      <c r="K224" s="10">
        <v>0</v>
      </c>
      <c r="L224" s="10">
        <v>3</v>
      </c>
      <c r="M224" s="31">
        <v>0</v>
      </c>
      <c r="N224" s="10">
        <f>SUM(C224:L224)</f>
        <v>795</v>
      </c>
      <c r="O224" s="10">
        <f t="shared" ref="O224:O232" si="74">(D224*12+F224*8)</f>
        <v>1208</v>
      </c>
      <c r="P224" s="285">
        <f t="shared" si="73"/>
        <v>-0.39768339768339767</v>
      </c>
      <c r="Q224" s="287">
        <f>T224/W224</f>
        <v>-0.33694745621351124</v>
      </c>
      <c r="S224" s="143">
        <f t="shared" si="71"/>
        <v>-1339</v>
      </c>
      <c r="T224" s="143">
        <f t="shared" si="72"/>
        <v>-404</v>
      </c>
      <c r="V224" s="107">
        <v>3367</v>
      </c>
      <c r="W224" s="107">
        <v>1199</v>
      </c>
    </row>
    <row r="225" spans="1:23" ht="13.65" customHeight="1" x14ac:dyDescent="0.3">
      <c r="A225" t="s">
        <v>15</v>
      </c>
      <c r="B225" s="16">
        <v>3135</v>
      </c>
      <c r="C225" s="16">
        <v>1045</v>
      </c>
      <c r="D225" s="16">
        <v>124</v>
      </c>
      <c r="E225" s="16">
        <v>0</v>
      </c>
      <c r="F225" s="16">
        <v>26</v>
      </c>
      <c r="G225" s="16">
        <v>0</v>
      </c>
      <c r="H225" s="16">
        <v>11</v>
      </c>
      <c r="I225" s="16">
        <v>7</v>
      </c>
      <c r="J225" s="16">
        <v>0</v>
      </c>
      <c r="K225" s="16">
        <v>124</v>
      </c>
      <c r="L225" s="16">
        <v>2</v>
      </c>
      <c r="M225" s="31">
        <v>0</v>
      </c>
      <c r="N225" s="10">
        <f t="shared" ref="N225:N232" si="75">SUM(C225:L225)</f>
        <v>1339</v>
      </c>
      <c r="O225" s="10">
        <f t="shared" si="74"/>
        <v>1696</v>
      </c>
      <c r="P225" s="285">
        <f t="shared" si="73"/>
        <v>0.15896487985212571</v>
      </c>
      <c r="Q225" s="287">
        <f>T225/W225</f>
        <v>0.28873917228103946</v>
      </c>
      <c r="S225" s="143">
        <f t="shared" si="71"/>
        <v>430</v>
      </c>
      <c r="T225" s="143">
        <f t="shared" si="72"/>
        <v>300</v>
      </c>
      <c r="V225" s="107">
        <v>2705</v>
      </c>
      <c r="W225" s="107">
        <v>1039</v>
      </c>
    </row>
    <row r="226" spans="1:23" ht="13.65" customHeight="1" x14ac:dyDescent="0.3">
      <c r="A226" t="s">
        <v>16</v>
      </c>
      <c r="B226" s="16">
        <v>3233</v>
      </c>
      <c r="C226" s="16">
        <v>695</v>
      </c>
      <c r="D226" s="16">
        <v>30</v>
      </c>
      <c r="E226" s="16">
        <v>1</v>
      </c>
      <c r="F226" s="16">
        <v>2</v>
      </c>
      <c r="G226" s="16">
        <v>10</v>
      </c>
      <c r="H226" s="16">
        <v>49</v>
      </c>
      <c r="I226" s="16">
        <v>291</v>
      </c>
      <c r="J226" s="16">
        <v>42</v>
      </c>
      <c r="K226" s="16">
        <v>0</v>
      </c>
      <c r="L226" s="16">
        <v>8</v>
      </c>
      <c r="M226" s="31">
        <v>2</v>
      </c>
      <c r="N226" s="10">
        <f t="shared" si="75"/>
        <v>1128</v>
      </c>
      <c r="O226" s="10">
        <f>(D226*12+F226*8)</f>
        <v>376</v>
      </c>
      <c r="P226" s="285">
        <f t="shared" si="73"/>
        <v>-0.36308116627265563</v>
      </c>
      <c r="Q226" s="287">
        <f t="shared" si="73"/>
        <v>-0.29190207156308851</v>
      </c>
      <c r="S226" s="143">
        <f t="shared" si="71"/>
        <v>-1843</v>
      </c>
      <c r="T226" s="143">
        <f t="shared" si="72"/>
        <v>-465</v>
      </c>
      <c r="V226" s="107">
        <v>5076</v>
      </c>
      <c r="W226" s="107">
        <v>1593</v>
      </c>
    </row>
    <row r="227" spans="1:23" ht="13.65" customHeight="1" x14ac:dyDescent="0.3">
      <c r="A227" t="s">
        <v>17</v>
      </c>
      <c r="B227" s="10">
        <v>7948</v>
      </c>
      <c r="C227" s="10">
        <v>1538</v>
      </c>
      <c r="D227" s="10">
        <v>20</v>
      </c>
      <c r="E227" s="10">
        <v>8</v>
      </c>
      <c r="F227" s="10">
        <v>0</v>
      </c>
      <c r="G227" s="10">
        <v>28</v>
      </c>
      <c r="H227" s="10">
        <v>114</v>
      </c>
      <c r="I227" s="10">
        <v>1015</v>
      </c>
      <c r="J227" s="10">
        <v>115</v>
      </c>
      <c r="K227" s="10">
        <v>93</v>
      </c>
      <c r="L227" s="10">
        <v>5</v>
      </c>
      <c r="M227" s="31">
        <v>2</v>
      </c>
      <c r="N227" s="10">
        <f t="shared" si="75"/>
        <v>2936</v>
      </c>
      <c r="O227" s="10">
        <f>(D227*12+F227*8)</f>
        <v>240</v>
      </c>
      <c r="P227" s="285">
        <f t="shared" si="73"/>
        <v>9.8548721492743602E-2</v>
      </c>
      <c r="Q227" s="287">
        <f t="shared" si="73"/>
        <v>0.15955766192733017</v>
      </c>
      <c r="S227" s="143">
        <f t="shared" si="71"/>
        <v>713</v>
      </c>
      <c r="T227" s="143">
        <f t="shared" si="72"/>
        <v>404</v>
      </c>
      <c r="V227" s="107">
        <v>7235</v>
      </c>
      <c r="W227" s="107">
        <v>2532</v>
      </c>
    </row>
    <row r="228" spans="1:23" ht="13.65" customHeight="1" x14ac:dyDescent="0.3">
      <c r="A228" t="s">
        <v>18</v>
      </c>
      <c r="B228" s="10"/>
      <c r="C228" s="10"/>
      <c r="D228" s="10"/>
      <c r="E228" s="10"/>
      <c r="F228" s="10"/>
      <c r="G228" s="10"/>
      <c r="H228" s="10"/>
      <c r="I228" s="10"/>
      <c r="J228" s="10"/>
      <c r="K228" s="10"/>
      <c r="L228" s="10"/>
      <c r="M228" s="31">
        <v>0</v>
      </c>
      <c r="N228" s="10">
        <f t="shared" si="75"/>
        <v>0</v>
      </c>
      <c r="O228" s="10">
        <f t="shared" si="74"/>
        <v>0</v>
      </c>
      <c r="P228" s="285">
        <f t="shared" si="73"/>
        <v>-1</v>
      </c>
      <c r="Q228" s="287">
        <f t="shared" si="73"/>
        <v>-1</v>
      </c>
      <c r="S228" s="143">
        <f t="shared" si="71"/>
        <v>-5215</v>
      </c>
      <c r="T228" s="143">
        <f t="shared" si="72"/>
        <v>-1856</v>
      </c>
      <c r="V228" s="107">
        <v>5215</v>
      </c>
      <c r="W228" s="107">
        <v>1856</v>
      </c>
    </row>
    <row r="229" spans="1:23" ht="13.65" customHeight="1" x14ac:dyDescent="0.3">
      <c r="A229" t="s">
        <v>19</v>
      </c>
      <c r="B229" s="10"/>
      <c r="C229" s="10"/>
      <c r="D229" s="10"/>
      <c r="E229" s="10"/>
      <c r="F229" s="10"/>
      <c r="G229" s="10"/>
      <c r="H229" s="10"/>
      <c r="I229" s="10"/>
      <c r="J229" s="10"/>
      <c r="K229" s="10"/>
      <c r="L229" s="10"/>
      <c r="M229" s="31"/>
      <c r="N229" s="10">
        <f t="shared" si="75"/>
        <v>0</v>
      </c>
      <c r="O229" s="10">
        <f t="shared" si="74"/>
        <v>0</v>
      </c>
      <c r="P229" s="285">
        <f t="shared" si="73"/>
        <v>-1</v>
      </c>
      <c r="Q229" s="287">
        <f t="shared" si="73"/>
        <v>-1</v>
      </c>
      <c r="S229" s="143">
        <f t="shared" si="71"/>
        <v>-3276</v>
      </c>
      <c r="T229" s="143">
        <f t="shared" si="72"/>
        <v>-1245</v>
      </c>
      <c r="V229" s="107">
        <v>3276</v>
      </c>
      <c r="W229" s="107">
        <v>1245</v>
      </c>
    </row>
    <row r="230" spans="1:23" ht="13.65" customHeight="1" x14ac:dyDescent="0.3">
      <c r="A230" t="s">
        <v>20</v>
      </c>
      <c r="B230" s="10"/>
      <c r="C230" s="10"/>
      <c r="D230" s="10"/>
      <c r="E230" s="10"/>
      <c r="F230" s="10"/>
      <c r="G230" s="10"/>
      <c r="H230" s="10"/>
      <c r="I230" s="10"/>
      <c r="J230" s="10"/>
      <c r="K230" s="10"/>
      <c r="L230" s="10"/>
      <c r="M230" s="31"/>
      <c r="N230" s="10">
        <f t="shared" si="75"/>
        <v>0</v>
      </c>
      <c r="O230" s="10">
        <f t="shared" si="74"/>
        <v>0</v>
      </c>
      <c r="P230" s="285">
        <f t="shared" si="73"/>
        <v>-1</v>
      </c>
      <c r="Q230" s="287">
        <f t="shared" si="73"/>
        <v>-1</v>
      </c>
      <c r="S230" s="143">
        <f t="shared" si="71"/>
        <v>-3036</v>
      </c>
      <c r="T230" s="143">
        <f t="shared" si="72"/>
        <v>-1288</v>
      </c>
      <c r="V230" s="107">
        <v>3036</v>
      </c>
      <c r="W230" s="107">
        <v>1288</v>
      </c>
    </row>
    <row r="231" spans="1:23" ht="13.65" customHeight="1" x14ac:dyDescent="0.3">
      <c r="A231" t="s">
        <v>21</v>
      </c>
      <c r="B231" s="10"/>
      <c r="C231" s="10"/>
      <c r="D231" s="10"/>
      <c r="E231" s="10"/>
      <c r="F231" s="10"/>
      <c r="G231" s="10"/>
      <c r="H231" s="10"/>
      <c r="I231" s="10"/>
      <c r="J231" s="10"/>
      <c r="K231" s="10"/>
      <c r="L231" s="10"/>
      <c r="M231" s="31"/>
      <c r="N231" s="10">
        <f t="shared" si="75"/>
        <v>0</v>
      </c>
      <c r="O231" s="10">
        <f t="shared" si="74"/>
        <v>0</v>
      </c>
      <c r="P231" s="285">
        <f t="shared" si="73"/>
        <v>-1</v>
      </c>
      <c r="Q231" s="287">
        <f t="shared" si="73"/>
        <v>-1</v>
      </c>
      <c r="S231" s="143">
        <f t="shared" si="71"/>
        <v>-2301</v>
      </c>
      <c r="T231" s="143">
        <f t="shared" si="72"/>
        <v>-898</v>
      </c>
      <c r="V231" s="107">
        <v>2301</v>
      </c>
      <c r="W231" s="107">
        <v>898</v>
      </c>
    </row>
    <row r="232" spans="1:23" ht="13.65" customHeight="1" x14ac:dyDescent="0.3">
      <c r="A232" s="4" t="s">
        <v>22</v>
      </c>
      <c r="B232" s="11"/>
      <c r="C232" s="11"/>
      <c r="D232" s="11"/>
      <c r="E232" s="11"/>
      <c r="F232" s="11"/>
      <c r="G232" s="15"/>
      <c r="H232" s="15"/>
      <c r="I232" s="15"/>
      <c r="J232" s="15"/>
      <c r="K232" s="15"/>
      <c r="L232" s="11"/>
      <c r="M232" s="30"/>
      <c r="N232" s="11">
        <f t="shared" si="75"/>
        <v>0</v>
      </c>
      <c r="O232" s="10">
        <f t="shared" si="74"/>
        <v>0</v>
      </c>
      <c r="P232" s="288">
        <f t="shared" si="73"/>
        <v>-1</v>
      </c>
      <c r="Q232" s="289">
        <f t="shared" si="73"/>
        <v>-1</v>
      </c>
      <c r="S232" s="169">
        <f t="shared" si="71"/>
        <v>-2389</v>
      </c>
      <c r="T232" s="169">
        <f t="shared" si="72"/>
        <v>-872</v>
      </c>
      <c r="V232" s="108">
        <v>2389</v>
      </c>
      <c r="W232" s="108">
        <v>872</v>
      </c>
    </row>
    <row r="233" spans="1:23" ht="13.65" customHeight="1" x14ac:dyDescent="0.3">
      <c r="A233" s="3" t="s">
        <v>137</v>
      </c>
      <c r="B233" s="8">
        <f>SUM(B220:B232)</f>
        <v>22116</v>
      </c>
      <c r="C233" s="8">
        <f t="shared" ref="C233:O233" si="76">SUM(C220:C232)</f>
        <v>5991</v>
      </c>
      <c r="D233" s="8">
        <f t="shared" si="76"/>
        <v>486</v>
      </c>
      <c r="E233" s="8">
        <f t="shared" si="76"/>
        <v>9</v>
      </c>
      <c r="F233" s="8">
        <f t="shared" si="76"/>
        <v>110</v>
      </c>
      <c r="G233" s="8">
        <f t="shared" si="76"/>
        <v>38</v>
      </c>
      <c r="H233" s="8">
        <f t="shared" si="76"/>
        <v>182</v>
      </c>
      <c r="I233" s="8">
        <f t="shared" si="76"/>
        <v>1315</v>
      </c>
      <c r="J233" s="8">
        <f t="shared" si="76"/>
        <v>159</v>
      </c>
      <c r="K233" s="8">
        <f t="shared" si="76"/>
        <v>248</v>
      </c>
      <c r="L233" s="8">
        <f t="shared" si="76"/>
        <v>21</v>
      </c>
      <c r="M233" s="8">
        <f t="shared" si="76"/>
        <v>4</v>
      </c>
      <c r="N233" s="8">
        <f t="shared" si="76"/>
        <v>8559</v>
      </c>
      <c r="O233" s="8">
        <f t="shared" si="76"/>
        <v>6900</v>
      </c>
      <c r="P233" s="399">
        <f t="shared" si="73"/>
        <v>-0.45559275305238284</v>
      </c>
      <c r="Q233" s="399">
        <f t="shared" si="73"/>
        <v>-0.4257631667225763</v>
      </c>
      <c r="S233" s="143">
        <f>SUM(S221:S232)</f>
        <v>-18508</v>
      </c>
      <c r="T233" s="143">
        <f>SUM(T221:T232)</f>
        <v>-6346</v>
      </c>
      <c r="V233" s="12">
        <f>SUM(V221:V232)</f>
        <v>40624</v>
      </c>
      <c r="W233" s="12">
        <f>SUM(W221:W232)</f>
        <v>14905</v>
      </c>
    </row>
    <row r="234" spans="1:23" ht="13.65" customHeight="1" x14ac:dyDescent="0.3">
      <c r="A234" s="5" t="s">
        <v>131</v>
      </c>
      <c r="B234" s="9">
        <v>40624</v>
      </c>
      <c r="C234" s="9">
        <v>11396</v>
      </c>
      <c r="D234" s="9">
        <v>734</v>
      </c>
      <c r="E234" s="9">
        <v>36</v>
      </c>
      <c r="F234" s="9">
        <v>213</v>
      </c>
      <c r="G234" s="9">
        <v>40</v>
      </c>
      <c r="H234" s="9">
        <v>210</v>
      </c>
      <c r="I234" s="9">
        <v>1570</v>
      </c>
      <c r="J234" s="9">
        <v>187</v>
      </c>
      <c r="K234" s="9">
        <v>496</v>
      </c>
      <c r="L234" s="9">
        <v>23</v>
      </c>
      <c r="M234" s="9">
        <v>19</v>
      </c>
      <c r="N234" s="9">
        <v>14905</v>
      </c>
      <c r="O234" s="9">
        <v>13443.5</v>
      </c>
      <c r="P234" s="17">
        <v>9.2279579716765606E-3</v>
      </c>
      <c r="Q234" s="17">
        <v>-2.3897816234033788E-2</v>
      </c>
    </row>
    <row r="235" spans="1:23" ht="13.65" customHeight="1" x14ac:dyDescent="0.3">
      <c r="A235" s="5" t="s">
        <v>23</v>
      </c>
      <c r="B235" s="9">
        <f t="shared" ref="B235:K235" si="77">B233-B234</f>
        <v>-18508</v>
      </c>
      <c r="C235" s="9">
        <f t="shared" si="77"/>
        <v>-5405</v>
      </c>
      <c r="D235" s="9">
        <f t="shared" si="77"/>
        <v>-248</v>
      </c>
      <c r="E235" s="9">
        <f t="shared" si="77"/>
        <v>-27</v>
      </c>
      <c r="F235" s="9">
        <f t="shared" si="77"/>
        <v>-103</v>
      </c>
      <c r="G235" s="9">
        <f t="shared" si="77"/>
        <v>-2</v>
      </c>
      <c r="H235" s="9">
        <f t="shared" si="77"/>
        <v>-28</v>
      </c>
      <c r="I235" s="9">
        <f t="shared" si="77"/>
        <v>-255</v>
      </c>
      <c r="J235" s="9">
        <f t="shared" si="77"/>
        <v>-28</v>
      </c>
      <c r="K235" s="9">
        <f t="shared" si="77"/>
        <v>-248</v>
      </c>
      <c r="L235" s="9">
        <f>L233-L234</f>
        <v>-2</v>
      </c>
      <c r="M235" s="30">
        <f>M233-M234</f>
        <v>-15</v>
      </c>
      <c r="N235" s="9">
        <f>N233-N234</f>
        <v>-6346</v>
      </c>
      <c r="O235" s="9">
        <f>O233-O234</f>
        <v>-6543.5</v>
      </c>
      <c r="P235" s="19"/>
      <c r="Q235" s="19"/>
    </row>
  </sheetData>
  <phoneticPr fontId="4" type="noConversion"/>
  <printOptions headings="1" gridLines="1" gridLinesSet="0"/>
  <pageMargins left="0.39370078740157483" right="0.39370078740157483" top="0.98425196850393704" bottom="0.78740157480314965" header="0.51181102362204722" footer="0.51181102362204722"/>
  <pageSetup paperSize="9" orientation="landscape" horizontalDpi="4294967292"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W96"/>
  <sheetViews>
    <sheetView topLeftCell="A66" zoomScaleNormal="100" workbookViewId="0">
      <selection activeCell="N57" sqref="N57"/>
    </sheetView>
  </sheetViews>
  <sheetFormatPr defaultRowHeight="12.75" customHeight="1" x14ac:dyDescent="0.25"/>
  <cols>
    <col min="1" max="1" width="10.453125" customWidth="1"/>
    <col min="2" max="2" width="9.36328125" customWidth="1"/>
    <col min="3" max="3" width="10.54296875" customWidth="1"/>
    <col min="4" max="4" width="8.54296875" customWidth="1"/>
    <col min="5" max="5" width="7.453125" customWidth="1"/>
    <col min="6" max="7" width="8.54296875" customWidth="1"/>
    <col min="8" max="8" width="8.08984375" customWidth="1"/>
    <col min="9" max="9" width="7.6328125" customWidth="1"/>
    <col min="10" max="11" width="6.54296875" customWidth="1"/>
    <col min="12" max="12" width="8" customWidth="1"/>
    <col min="13" max="13" width="10.08984375" customWidth="1"/>
    <col min="14" max="14" width="10.54296875" customWidth="1"/>
    <col min="15" max="15" width="9.6328125" customWidth="1"/>
    <col min="16" max="16" width="8" customWidth="1"/>
    <col min="17" max="17" width="12" bestFit="1" customWidth="1"/>
    <col min="19" max="19" width="9.54296875" bestFit="1" customWidth="1"/>
    <col min="20" max="20" width="9.54296875" customWidth="1"/>
    <col min="21" max="21" width="10.453125" bestFit="1" customWidth="1"/>
  </cols>
  <sheetData>
    <row r="1" spans="1:23" ht="13" x14ac:dyDescent="0.3">
      <c r="A1" s="38"/>
      <c r="B1" s="43"/>
      <c r="C1" s="43"/>
      <c r="D1" s="43"/>
      <c r="E1" s="43"/>
      <c r="F1" s="43"/>
      <c r="G1" s="43"/>
      <c r="H1" s="43"/>
      <c r="I1" s="43"/>
      <c r="J1" s="43"/>
      <c r="K1" s="43"/>
      <c r="L1" s="43"/>
      <c r="M1" s="70"/>
      <c r="N1" s="43"/>
      <c r="O1" s="43"/>
      <c r="P1" s="23"/>
      <c r="Q1" s="23"/>
    </row>
    <row r="2" spans="1:23" ht="13" x14ac:dyDescent="0.3">
      <c r="A2" s="38"/>
      <c r="B2" s="43"/>
      <c r="C2" s="43"/>
      <c r="D2" s="43"/>
      <c r="E2" s="43"/>
      <c r="F2" s="43"/>
      <c r="G2" s="43"/>
      <c r="H2" s="43"/>
      <c r="I2" s="43"/>
      <c r="J2" s="43"/>
      <c r="K2" s="43"/>
      <c r="L2" s="43"/>
      <c r="M2" s="70"/>
      <c r="N2" s="43"/>
      <c r="O2" s="43"/>
      <c r="P2" s="23"/>
      <c r="Q2" s="23"/>
    </row>
    <row r="3" spans="1:23" ht="13" x14ac:dyDescent="0.3">
      <c r="A3" s="38"/>
      <c r="B3" s="43"/>
      <c r="C3" s="43"/>
      <c r="D3" s="43"/>
      <c r="E3" s="43"/>
      <c r="F3" s="43"/>
      <c r="G3" s="43"/>
      <c r="H3" s="43"/>
      <c r="I3" s="43"/>
      <c r="J3" s="43"/>
      <c r="K3" s="43"/>
      <c r="L3" s="43"/>
      <c r="M3" s="70"/>
      <c r="N3" s="43"/>
      <c r="O3" s="43"/>
      <c r="P3" s="23"/>
      <c r="Q3" s="23"/>
    </row>
    <row r="4" spans="1:23" ht="13" x14ac:dyDescent="0.3">
      <c r="A4" s="38"/>
      <c r="B4" s="43"/>
      <c r="C4" s="43"/>
      <c r="D4" s="43"/>
      <c r="E4" s="43"/>
      <c r="F4" s="43"/>
      <c r="G4" s="43"/>
      <c r="H4" s="43"/>
      <c r="I4" s="43"/>
      <c r="J4" s="43"/>
      <c r="K4" s="43"/>
      <c r="L4" s="43"/>
      <c r="M4" s="70"/>
      <c r="N4" s="43"/>
      <c r="O4" s="43"/>
      <c r="P4" s="23"/>
      <c r="Q4" s="23"/>
    </row>
    <row r="5" spans="1:23" ht="13" x14ac:dyDescent="0.3">
      <c r="A5" s="38"/>
      <c r="B5" s="43"/>
      <c r="C5" s="43"/>
      <c r="D5" s="43"/>
      <c r="E5" s="43"/>
      <c r="F5" s="43"/>
      <c r="G5" s="43"/>
      <c r="H5" s="43"/>
      <c r="I5" s="43"/>
      <c r="J5" s="43"/>
      <c r="K5" s="43"/>
      <c r="L5" s="43"/>
      <c r="M5" s="70"/>
      <c r="N5" s="43"/>
      <c r="O5" s="43"/>
      <c r="P5" s="23"/>
      <c r="Q5" s="23"/>
    </row>
    <row r="12" spans="1:23" ht="13" x14ac:dyDescent="0.3">
      <c r="A12" s="1" t="s">
        <v>0</v>
      </c>
      <c r="B12" s="2" t="s">
        <v>1</v>
      </c>
      <c r="C12" s="2" t="s">
        <v>2</v>
      </c>
      <c r="D12" s="2" t="s">
        <v>3</v>
      </c>
      <c r="E12" s="2" t="s">
        <v>4</v>
      </c>
      <c r="F12" s="2" t="s">
        <v>5</v>
      </c>
      <c r="G12" s="67" t="s">
        <v>45</v>
      </c>
      <c r="H12" s="67" t="s">
        <v>46</v>
      </c>
      <c r="I12" s="67" t="s">
        <v>48</v>
      </c>
      <c r="J12" s="67" t="s">
        <v>47</v>
      </c>
      <c r="K12" s="67" t="s">
        <v>91</v>
      </c>
      <c r="L12" s="2" t="s">
        <v>6</v>
      </c>
      <c r="M12" s="33" t="s">
        <v>7</v>
      </c>
      <c r="N12" s="1" t="s">
        <v>8</v>
      </c>
      <c r="O12" s="2" t="s">
        <v>10</v>
      </c>
      <c r="P12" s="2" t="s">
        <v>1</v>
      </c>
      <c r="Q12" s="2" t="s">
        <v>9</v>
      </c>
      <c r="S12" s="163" t="s">
        <v>94</v>
      </c>
      <c r="T12" s="163" t="s">
        <v>95</v>
      </c>
      <c r="U12" s="164"/>
      <c r="V12" s="163" t="s">
        <v>87</v>
      </c>
      <c r="W12" s="163" t="s">
        <v>88</v>
      </c>
    </row>
    <row r="13" spans="1:23" ht="13" x14ac:dyDescent="0.25">
      <c r="A13" t="s">
        <v>11</v>
      </c>
      <c r="B13" s="71">
        <f>' Södra special'!B6+' Södra special'!B27+' Södra special'!B48</f>
        <v>4202</v>
      </c>
      <c r="C13" s="71">
        <f>' Södra special'!C6+' Södra special'!C27+' Södra special'!C48</f>
        <v>1468</v>
      </c>
      <c r="D13" s="71">
        <f>' Södra special'!D6+' Södra special'!D27+' Södra special'!D48</f>
        <v>160</v>
      </c>
      <c r="E13" s="71">
        <f>' Södra special'!E6+' Södra special'!E27+' Södra special'!E48</f>
        <v>0</v>
      </c>
      <c r="F13" s="71">
        <f>' Södra special'!F6+' Södra special'!F27+' Södra special'!F48</f>
        <v>26</v>
      </c>
      <c r="G13" s="71">
        <f>' Södra special'!G6+' Södra special'!G27+' Södra special'!G48</f>
        <v>2</v>
      </c>
      <c r="H13" s="71">
        <f>' Södra special'!H6+' Södra special'!H27+' Södra special'!H48</f>
        <v>0</v>
      </c>
      <c r="I13" s="71">
        <f>' Södra special'!I6+' Södra special'!I27+' Södra special'!I48</f>
        <v>2</v>
      </c>
      <c r="J13" s="71">
        <f>' Södra special'!J6+' Södra special'!J27+' Södra special'!J48</f>
        <v>0</v>
      </c>
      <c r="K13" s="71">
        <f>' Södra special'!K6+' Södra special'!K27+' Södra special'!K48</f>
        <v>31</v>
      </c>
      <c r="L13" s="71">
        <f>' Södra special'!L6+' Södra special'!L27+' Södra special'!L48</f>
        <v>1</v>
      </c>
      <c r="M13" s="71">
        <f>' Södra special'!M6+' Södra special'!M27+' Södra special'!M48</f>
        <v>0</v>
      </c>
      <c r="N13" s="71">
        <f>SUM(C13:L13)</f>
        <v>1690</v>
      </c>
      <c r="O13" s="71">
        <f>' Södra special'!O6+' Södra special'!O27+' Södra special'!O48</f>
        <v>177</v>
      </c>
      <c r="P13" s="188">
        <f>S13/V13</f>
        <v>0.13598269802649365</v>
      </c>
      <c r="Q13" s="179">
        <v>0.18099231306778477</v>
      </c>
      <c r="R13" s="22"/>
      <c r="S13" s="143">
        <v>503</v>
      </c>
      <c r="T13" s="143">
        <v>259</v>
      </c>
      <c r="V13" s="165">
        <v>3699</v>
      </c>
      <c r="W13" s="12">
        <v>1431</v>
      </c>
    </row>
    <row r="14" spans="1:23" ht="13" x14ac:dyDescent="0.25">
      <c r="A14" t="s">
        <v>12</v>
      </c>
      <c r="B14" s="71">
        <f>' Södra special'!B7+' Södra special'!B28+' Södra special'!B49</f>
        <v>4981</v>
      </c>
      <c r="C14" s="71">
        <f>' Södra special'!C7+' Södra special'!C28+' Södra special'!C49</f>
        <v>1678</v>
      </c>
      <c r="D14" s="71">
        <f>' Södra special'!D7+' Södra special'!D28+' Södra special'!D49</f>
        <v>137</v>
      </c>
      <c r="E14" s="71">
        <f>' Södra special'!E7+' Södra special'!E28+' Södra special'!E49</f>
        <v>0</v>
      </c>
      <c r="F14" s="71">
        <f>' Södra special'!F7+' Södra special'!F28+' Södra special'!F49</f>
        <v>22</v>
      </c>
      <c r="G14" s="71">
        <f>' Södra special'!G7+' Södra special'!G28+' Södra special'!G49</f>
        <v>2</v>
      </c>
      <c r="H14" s="71">
        <f>' Södra special'!H7+' Södra special'!H28+' Södra special'!H49</f>
        <v>3</v>
      </c>
      <c r="I14" s="71">
        <f>' Södra special'!I7+' Södra special'!I28+' Södra special'!I49</f>
        <v>2</v>
      </c>
      <c r="J14" s="71">
        <f>' Södra special'!J7+' Södra special'!J28+' Södra special'!J49</f>
        <v>1</v>
      </c>
      <c r="K14" s="71">
        <f>' Södra special'!K7+' Södra special'!K28+' Södra special'!K49</f>
        <v>0</v>
      </c>
      <c r="L14" s="71">
        <f>' Södra special'!L7+' Södra special'!L28+' Södra special'!L49</f>
        <v>11</v>
      </c>
      <c r="M14" s="71">
        <f>' Södra special'!M7+' Södra special'!M28+' Södra special'!M49</f>
        <v>0</v>
      </c>
      <c r="N14" s="71">
        <f t="shared" ref="N14:N24" si="0">SUM(C14:L14)</f>
        <v>1856</v>
      </c>
      <c r="O14" s="71">
        <f>' Södra special'!O7+' Södra special'!O28+' Södra special'!O49</f>
        <v>941</v>
      </c>
      <c r="P14" s="191">
        <f t="shared" ref="P14" si="1">S14/V14</f>
        <v>0.24774549098196394</v>
      </c>
      <c r="Q14" s="181">
        <v>0.1731984829329962</v>
      </c>
      <c r="R14" s="22"/>
      <c r="S14" s="143">
        <v>989</v>
      </c>
      <c r="T14" s="143">
        <v>274</v>
      </c>
      <c r="V14" s="165">
        <v>3992</v>
      </c>
      <c r="W14" s="12">
        <v>1582</v>
      </c>
    </row>
    <row r="15" spans="1:23" ht="13" x14ac:dyDescent="0.25">
      <c r="A15" t="s">
        <v>13</v>
      </c>
      <c r="B15" s="71">
        <f>' Södra special'!B8+' Södra special'!B29+' Södra special'!B50</f>
        <v>4691</v>
      </c>
      <c r="C15" s="71">
        <f>' Södra special'!C8+' Södra special'!C29+' Södra special'!C50</f>
        <v>1611</v>
      </c>
      <c r="D15" s="71">
        <f>' Södra special'!D8+' Södra special'!D29+' Södra special'!D50</f>
        <v>174</v>
      </c>
      <c r="E15" s="71">
        <f>' Södra special'!E8+' Södra special'!E29+' Södra special'!E50</f>
        <v>2</v>
      </c>
      <c r="F15" s="71">
        <f>' Södra special'!F8+' Södra special'!F29+' Södra special'!F50</f>
        <v>33</v>
      </c>
      <c r="G15" s="71">
        <f>' Södra special'!G8+' Södra special'!G29+' Södra special'!G50</f>
        <v>0</v>
      </c>
      <c r="H15" s="71">
        <f>' Södra special'!H8+' Södra special'!H29+' Södra special'!H50</f>
        <v>0</v>
      </c>
      <c r="I15" s="71">
        <f>' Södra special'!I8+' Södra special'!I29+' Södra special'!I50</f>
        <v>1</v>
      </c>
      <c r="J15" s="71">
        <f>' Södra special'!J8+' Södra special'!J29+' Södra special'!J50</f>
        <v>2</v>
      </c>
      <c r="K15" s="71">
        <f>' Södra special'!K8+' Södra special'!K29+' Södra special'!K50</f>
        <v>187</v>
      </c>
      <c r="L15" s="71">
        <f>' Södra special'!L8+' Södra special'!L29+' Södra special'!L50</f>
        <v>85</v>
      </c>
      <c r="M15" s="71">
        <f>' Södra special'!M8+' Södra special'!M29+' Södra special'!M50</f>
        <v>4</v>
      </c>
      <c r="N15" s="71">
        <f t="shared" si="0"/>
        <v>2095</v>
      </c>
      <c r="O15" s="71">
        <f>' Södra special'!O8+' Södra special'!O29+' Södra special'!O50</f>
        <v>679</v>
      </c>
      <c r="P15" s="191">
        <f>S15/V15</f>
        <v>-8.9833139309274349E-2</v>
      </c>
      <c r="Q15" s="181">
        <v>3.3547113961519485E-2</v>
      </c>
      <c r="R15" s="22"/>
      <c r="S15" s="143">
        <v>-463</v>
      </c>
      <c r="T15" s="143">
        <v>68</v>
      </c>
      <c r="V15" s="165">
        <v>5154</v>
      </c>
      <c r="W15" s="12">
        <v>2027</v>
      </c>
    </row>
    <row r="16" spans="1:23" ht="13" x14ac:dyDescent="0.25">
      <c r="A16" t="s">
        <v>14</v>
      </c>
      <c r="B16" s="71">
        <f>' Södra special'!B9+' Södra special'!B30+' Södra special'!B51</f>
        <v>6111</v>
      </c>
      <c r="C16" s="71">
        <f>' Södra special'!C9+' Södra special'!C30+' Södra special'!C51</f>
        <v>1984</v>
      </c>
      <c r="D16" s="71">
        <f>' Södra special'!D9+' Södra special'!D30+' Södra special'!D51</f>
        <v>171</v>
      </c>
      <c r="E16" s="71">
        <f>' Södra special'!E9+' Södra special'!E30+' Södra special'!E51</f>
        <v>0</v>
      </c>
      <c r="F16" s="71">
        <f>' Södra special'!F9+' Södra special'!F30+' Södra special'!F51</f>
        <v>64</v>
      </c>
      <c r="G16" s="71">
        <f>' Södra special'!G9+' Södra special'!G30+' Södra special'!G51</f>
        <v>7</v>
      </c>
      <c r="H16" s="71">
        <f>' Södra special'!H9+' Södra special'!H30+' Södra special'!H51</f>
        <v>0</v>
      </c>
      <c r="I16" s="71">
        <f>' Södra special'!I9+' Södra special'!I30+' Södra special'!I51</f>
        <v>0</v>
      </c>
      <c r="J16" s="71">
        <f>' Södra special'!J9+' Södra special'!J30+' Södra special'!J51</f>
        <v>4</v>
      </c>
      <c r="K16" s="71">
        <f>' Södra special'!K9+' Södra special'!K30+' Södra special'!K51</f>
        <v>0</v>
      </c>
      <c r="L16" s="71">
        <f>' Södra special'!L9+' Södra special'!L30+' Södra special'!L51</f>
        <v>7</v>
      </c>
      <c r="M16" s="71">
        <f>' Södra special'!M9+' Södra special'!M30+' Södra special'!M51</f>
        <v>2</v>
      </c>
      <c r="N16" s="71">
        <f t="shared" si="0"/>
        <v>2237</v>
      </c>
      <c r="O16" s="71">
        <f>' Södra special'!O9+' Södra special'!O30+' Södra special'!O51</f>
        <v>1041</v>
      </c>
      <c r="P16" s="191">
        <f t="shared" ref="P16:P24" si="2">S16/V16</f>
        <v>5.489383738995339E-2</v>
      </c>
      <c r="Q16" s="181">
        <v>1.6818181818181819E-2</v>
      </c>
      <c r="R16" s="22"/>
      <c r="S16" s="143">
        <v>318</v>
      </c>
      <c r="T16" s="143">
        <v>37</v>
      </c>
      <c r="V16" s="165">
        <v>5793</v>
      </c>
      <c r="W16" s="12">
        <v>2200</v>
      </c>
    </row>
    <row r="17" spans="1:23" ht="13" x14ac:dyDescent="0.25">
      <c r="A17" t="s">
        <v>15</v>
      </c>
      <c r="B17" s="71">
        <f>' Södra special'!B10+' Södra special'!B31+' Södra special'!B52</f>
        <v>8327</v>
      </c>
      <c r="C17" s="71">
        <f>' Södra special'!C10+' Södra special'!C31+' Södra special'!C52</f>
        <v>2547</v>
      </c>
      <c r="D17" s="71">
        <f>' Södra special'!D10+' Södra special'!D31+' Södra special'!D52</f>
        <v>188</v>
      </c>
      <c r="E17" s="71">
        <f>' Södra special'!E10+' Södra special'!E31+' Södra special'!E52</f>
        <v>6</v>
      </c>
      <c r="F17" s="71">
        <f>' Södra special'!F10+' Södra special'!F31+' Södra special'!F52</f>
        <v>29</v>
      </c>
      <c r="G17" s="71">
        <f>' Södra special'!G10+' Södra special'!G31+' Södra special'!G52</f>
        <v>4</v>
      </c>
      <c r="H17" s="71">
        <f>' Södra special'!H10+' Södra special'!H31+' Södra special'!H52</f>
        <v>28</v>
      </c>
      <c r="I17" s="71">
        <f>' Södra special'!I10+' Södra special'!I31+' Södra special'!I52</f>
        <v>50</v>
      </c>
      <c r="J17" s="71">
        <f>' Södra special'!J10+' Södra special'!J31+' Södra special'!J52</f>
        <v>45</v>
      </c>
      <c r="K17" s="71">
        <f>' Södra special'!K10+' Södra special'!K31+' Södra special'!K52</f>
        <v>155</v>
      </c>
      <c r="L17" s="71">
        <f>' Södra special'!L10+' Södra special'!L31+' Södra special'!L52</f>
        <v>10</v>
      </c>
      <c r="M17" s="71">
        <f>' Södra special'!M10+' Södra special'!M31+' Södra special'!M52</f>
        <v>4</v>
      </c>
      <c r="N17" s="71">
        <f t="shared" si="0"/>
        <v>3062</v>
      </c>
      <c r="O17" s="71">
        <f>' Södra special'!O10+' Södra special'!O31+' Södra special'!O52</f>
        <v>469</v>
      </c>
      <c r="P17" s="191">
        <f t="shared" si="2"/>
        <v>-6.5536976770283917E-2</v>
      </c>
      <c r="Q17" s="181">
        <v>-9.1664194601008608E-2</v>
      </c>
      <c r="R17" s="22"/>
      <c r="S17" s="143">
        <v>-584</v>
      </c>
      <c r="T17" s="143">
        <v>-309</v>
      </c>
      <c r="V17" s="165">
        <v>8911</v>
      </c>
      <c r="W17" s="12">
        <v>3371</v>
      </c>
    </row>
    <row r="18" spans="1:23" ht="13" x14ac:dyDescent="0.25">
      <c r="A18" t="s">
        <v>16</v>
      </c>
      <c r="B18" s="71">
        <f>' Södra special'!B11+' Södra special'!B32+' Södra special'!B53</f>
        <v>12945</v>
      </c>
      <c r="C18" s="71">
        <f>' Södra special'!C11+' Södra special'!C32+' Södra special'!C53</f>
        <v>3218</v>
      </c>
      <c r="D18" s="71">
        <f>' Södra special'!D11+' Södra special'!D32+' Södra special'!D53</f>
        <v>196</v>
      </c>
      <c r="E18" s="71">
        <f>' Södra special'!E11+' Södra special'!E32+' Södra special'!E53</f>
        <v>16</v>
      </c>
      <c r="F18" s="71">
        <f>' Södra special'!F11+' Södra special'!F32+' Södra special'!F53</f>
        <v>44.5</v>
      </c>
      <c r="G18" s="71">
        <f>' Södra special'!G11+' Södra special'!G32+' Södra special'!G53</f>
        <v>23</v>
      </c>
      <c r="H18" s="71">
        <f>' Södra special'!H11+' Södra special'!H32+' Södra special'!H53</f>
        <v>81</v>
      </c>
      <c r="I18" s="71">
        <f>' Södra special'!I11+' Södra special'!I32+' Södra special'!I53</f>
        <v>649</v>
      </c>
      <c r="J18" s="71">
        <f>' Södra special'!J11+' Södra special'!J32+' Södra special'!J53</f>
        <v>123</v>
      </c>
      <c r="K18" s="71">
        <f>' Södra special'!K11+' Södra special'!K32+' Södra special'!K53</f>
        <v>0</v>
      </c>
      <c r="L18" s="71">
        <f>' Södra special'!L11+' Södra special'!L32+' Södra special'!L53</f>
        <v>31</v>
      </c>
      <c r="M18" s="71">
        <f>' Södra special'!M11+' Södra special'!M32+' Södra special'!M53</f>
        <v>1</v>
      </c>
      <c r="N18" s="71">
        <f t="shared" si="0"/>
        <v>4381.5</v>
      </c>
      <c r="O18" s="71">
        <f>' Södra special'!O11+' Södra special'!O32+' Södra special'!O53</f>
        <v>1310</v>
      </c>
      <c r="P18" s="191">
        <f t="shared" si="2"/>
        <v>0.10471070148489503</v>
      </c>
      <c r="Q18" s="181">
        <v>9.1282689912826898E-2</v>
      </c>
      <c r="R18" s="22"/>
      <c r="S18" s="143">
        <v>1227</v>
      </c>
      <c r="T18" s="143">
        <v>366.5</v>
      </c>
      <c r="V18" s="165">
        <v>11718</v>
      </c>
      <c r="W18" s="12">
        <v>4015</v>
      </c>
    </row>
    <row r="19" spans="1:23" ht="13" x14ac:dyDescent="0.25">
      <c r="A19" t="s">
        <v>17</v>
      </c>
      <c r="B19" s="71">
        <f>' Södra special'!B12+' Södra special'!B33+' Södra special'!B54</f>
        <v>22634</v>
      </c>
      <c r="C19" s="71">
        <f>' Södra special'!C12+' Södra special'!C33+' Södra special'!C54</f>
        <v>4481</v>
      </c>
      <c r="D19" s="71">
        <f>' Södra special'!D12+' Södra special'!D33+' Södra special'!D54</f>
        <v>150</v>
      </c>
      <c r="E19" s="71">
        <f>' Södra special'!E12+' Södra special'!E33+' Södra special'!E54</f>
        <v>42</v>
      </c>
      <c r="F19" s="71">
        <f>' Södra special'!F12+' Södra special'!F33+' Södra special'!F54</f>
        <v>20</v>
      </c>
      <c r="G19" s="71">
        <f>' Södra special'!G12+' Södra special'!G33+' Södra special'!G54</f>
        <v>42</v>
      </c>
      <c r="H19" s="71">
        <f>' Södra special'!H12+' Södra special'!H33+' Södra special'!H54</f>
        <v>236</v>
      </c>
      <c r="I19" s="71">
        <f>' Södra special'!I12+' Södra special'!I33+' Södra special'!I54</f>
        <v>2034</v>
      </c>
      <c r="J19" s="71">
        <f>' Södra special'!J12+' Södra special'!J33+' Södra special'!J54</f>
        <v>261</v>
      </c>
      <c r="K19" s="71">
        <f>' Södra special'!K12+' Södra special'!K33+' Södra special'!K54</f>
        <v>93</v>
      </c>
      <c r="L19" s="71">
        <f>' Södra special'!L12+' Södra special'!L33+' Södra special'!L54</f>
        <v>52</v>
      </c>
      <c r="M19" s="71">
        <f>' Södra special'!M12+' Södra special'!M33+' Södra special'!M54</f>
        <v>11</v>
      </c>
      <c r="N19" s="71">
        <f t="shared" si="0"/>
        <v>7411</v>
      </c>
      <c r="O19" s="71">
        <f>' Södra special'!O12+' Södra special'!O33+' Södra special'!O54</f>
        <v>2113.5</v>
      </c>
      <c r="P19" s="191">
        <f t="shared" si="2"/>
        <v>7.8817295275415231E-3</v>
      </c>
      <c r="Q19" s="181">
        <v>-7.7200846718964017E-2</v>
      </c>
      <c r="R19" s="22"/>
      <c r="S19" s="143">
        <v>177</v>
      </c>
      <c r="T19" s="143">
        <v>-620</v>
      </c>
      <c r="V19" s="165">
        <v>22457</v>
      </c>
      <c r="W19" s="12">
        <v>8031</v>
      </c>
    </row>
    <row r="20" spans="1:23" ht="13" x14ac:dyDescent="0.25">
      <c r="A20" t="s">
        <v>18</v>
      </c>
      <c r="B20" s="71">
        <f>' Södra special'!B13+' Södra special'!B34+' Södra special'!B55</f>
        <v>14164</v>
      </c>
      <c r="C20" s="71">
        <f>' Södra special'!C13+' Södra special'!C34+' Södra special'!C55</f>
        <v>3231</v>
      </c>
      <c r="D20" s="71">
        <f>' Södra special'!D13+' Södra special'!D34+' Södra special'!D55</f>
        <v>158</v>
      </c>
      <c r="E20" s="71">
        <f>' Södra special'!E13+' Södra special'!E34+' Södra special'!E55</f>
        <v>31</v>
      </c>
      <c r="F20" s="71">
        <f>' Södra special'!F13+' Södra special'!F34+' Södra special'!F55</f>
        <v>37</v>
      </c>
      <c r="G20" s="71">
        <f>' Södra special'!G13+' Södra special'!G34+' Södra special'!G55</f>
        <v>21</v>
      </c>
      <c r="H20" s="71">
        <f>' Södra special'!H13+' Södra special'!H34+' Södra special'!H55</f>
        <v>112</v>
      </c>
      <c r="I20" s="71">
        <f>' Södra special'!I13+' Södra special'!I34+' Södra special'!I55</f>
        <v>931</v>
      </c>
      <c r="J20" s="71">
        <f>' Södra special'!J13+' Södra special'!J34+' Södra special'!J55</f>
        <v>125</v>
      </c>
      <c r="K20" s="71">
        <f>' Södra special'!K13+' Södra special'!K34+' Södra special'!K55</f>
        <v>155</v>
      </c>
      <c r="L20" s="71">
        <f>' Södra special'!L13+' Södra special'!L34+' Södra special'!L55</f>
        <v>33</v>
      </c>
      <c r="M20" s="71">
        <f>' Södra special'!M13+' Södra special'!M34+' Södra special'!M55</f>
        <v>8</v>
      </c>
      <c r="N20" s="71">
        <f t="shared" si="0"/>
        <v>4834</v>
      </c>
      <c r="O20" s="71">
        <f>' Södra special'!O13+' Södra special'!O34+' Södra special'!O55</f>
        <v>1768.7</v>
      </c>
      <c r="P20" s="191">
        <f t="shared" si="2"/>
        <v>1.7382559977014798E-2</v>
      </c>
      <c r="Q20" s="181">
        <v>1.661409043112513E-2</v>
      </c>
      <c r="R20" s="22"/>
      <c r="S20" s="143">
        <v>242</v>
      </c>
      <c r="T20" s="143">
        <v>79</v>
      </c>
      <c r="V20" s="165">
        <v>13922</v>
      </c>
      <c r="W20" s="12">
        <v>4755</v>
      </c>
    </row>
    <row r="21" spans="1:23" ht="13" x14ac:dyDescent="0.25">
      <c r="A21" t="s">
        <v>19</v>
      </c>
      <c r="B21" s="71">
        <f>' Södra special'!B14+' Södra special'!B35+' Södra special'!B56</f>
        <v>7412</v>
      </c>
      <c r="C21" s="71">
        <f>' Södra special'!C14+' Södra special'!C35+' Södra special'!C56</f>
        <v>2374</v>
      </c>
      <c r="D21" s="71">
        <f>' Södra special'!D14+' Södra special'!D35+' Södra special'!D56</f>
        <v>158</v>
      </c>
      <c r="E21" s="71">
        <f>' Södra special'!E14+' Södra special'!E35+' Södra special'!E56</f>
        <v>2</v>
      </c>
      <c r="F21" s="71">
        <f>' Södra special'!F14+' Södra special'!F35+' Södra special'!F56</f>
        <v>47</v>
      </c>
      <c r="G21" s="71">
        <f>' Södra special'!G14+' Södra special'!G35+' Södra special'!G56</f>
        <v>3</v>
      </c>
      <c r="H21" s="71">
        <f>' Södra special'!H14+' Södra special'!H35+' Södra special'!H56</f>
        <v>34</v>
      </c>
      <c r="I21" s="71">
        <f>' Södra special'!I14+' Södra special'!I35+' Södra special'!I56</f>
        <v>38</v>
      </c>
      <c r="J21" s="71">
        <f>' Södra special'!J14+' Södra special'!J35+' Södra special'!J56</f>
        <v>20</v>
      </c>
      <c r="K21" s="71">
        <f>' Södra special'!K14+' Södra special'!K35+' Södra special'!K56</f>
        <v>0</v>
      </c>
      <c r="L21" s="71">
        <f>' Södra special'!L14+' Södra special'!L35+' Södra special'!L56</f>
        <v>4</v>
      </c>
      <c r="M21" s="71">
        <f>' Södra special'!M14+' Södra special'!M35+' Södra special'!M56</f>
        <v>6</v>
      </c>
      <c r="N21" s="71">
        <f t="shared" si="0"/>
        <v>2680</v>
      </c>
      <c r="O21" s="71">
        <f>' Södra special'!O14+' Södra special'!O35+' Södra special'!O56</f>
        <v>1294</v>
      </c>
      <c r="P21" s="191">
        <f t="shared" si="2"/>
        <v>-0.19224062772449868</v>
      </c>
      <c r="Q21" s="181">
        <v>-0.18713982408249924</v>
      </c>
      <c r="R21" s="22"/>
      <c r="S21" s="143">
        <v>-1764</v>
      </c>
      <c r="T21" s="143">
        <v>-617</v>
      </c>
      <c r="V21" s="165">
        <v>9176</v>
      </c>
      <c r="W21" s="12">
        <v>3297</v>
      </c>
    </row>
    <row r="22" spans="1:23" ht="13" x14ac:dyDescent="0.25">
      <c r="A22" t="s">
        <v>20</v>
      </c>
      <c r="B22" s="71">
        <f>' Södra special'!B15+' Södra special'!B36+' Södra special'!B57</f>
        <v>6024</v>
      </c>
      <c r="C22" s="71">
        <f>' Södra special'!C15+' Södra special'!C36+' Södra special'!C57</f>
        <v>1973</v>
      </c>
      <c r="D22" s="71">
        <f>' Södra special'!D15+' Södra special'!D36+' Södra special'!D57</f>
        <v>170</v>
      </c>
      <c r="E22" s="71">
        <f>' Södra special'!E15+' Södra special'!E36+' Södra special'!E57</f>
        <v>0</v>
      </c>
      <c r="F22" s="71">
        <f>' Södra special'!F15+' Södra special'!F36+' Södra special'!F57</f>
        <v>35</v>
      </c>
      <c r="G22" s="71">
        <f>' Södra special'!G15+' Södra special'!G36+' Södra special'!G57</f>
        <v>1</v>
      </c>
      <c r="H22" s="71">
        <f>' Södra special'!H15+' Södra special'!H36+' Södra special'!H57</f>
        <v>4</v>
      </c>
      <c r="I22" s="71">
        <f>' Södra special'!I15+' Södra special'!I36+' Södra special'!I57</f>
        <v>1</v>
      </c>
      <c r="J22" s="71">
        <f>' Södra special'!J15+' Södra special'!J36+' Södra special'!J57</f>
        <v>0</v>
      </c>
      <c r="K22" s="71">
        <f>' Södra special'!K15+' Södra special'!K36+' Södra special'!K57</f>
        <v>93</v>
      </c>
      <c r="L22" s="71">
        <f>' Södra special'!L15+' Södra special'!L36+' Södra special'!L57</f>
        <v>4</v>
      </c>
      <c r="M22" s="71">
        <f>' Södra special'!M15+' Södra special'!M36+' Södra special'!M57</f>
        <v>6</v>
      </c>
      <c r="N22" s="71">
        <f t="shared" si="0"/>
        <v>2281</v>
      </c>
      <c r="O22" s="71">
        <f>' Södra special'!O15+' Södra special'!O36+' Södra special'!O57</f>
        <v>840</v>
      </c>
      <c r="P22" s="191">
        <f t="shared" si="2"/>
        <v>-0.10008963250672244</v>
      </c>
      <c r="Q22" s="181">
        <v>-0.16170525542080116</v>
      </c>
      <c r="R22" s="22"/>
      <c r="S22" s="143">
        <v>-670</v>
      </c>
      <c r="T22" s="143">
        <v>-440</v>
      </c>
      <c r="V22" s="165">
        <v>6694</v>
      </c>
      <c r="W22" s="12">
        <v>2721</v>
      </c>
    </row>
    <row r="23" spans="1:23" ht="13" x14ac:dyDescent="0.25">
      <c r="A23" t="s">
        <v>21</v>
      </c>
      <c r="B23" s="71">
        <f>' Södra special'!B16+' Södra special'!B37+' Södra special'!B58</f>
        <v>5317</v>
      </c>
      <c r="C23" s="71">
        <f>' Södra special'!C16+' Södra special'!C37+' Södra special'!C58</f>
        <v>1814</v>
      </c>
      <c r="D23" s="71">
        <f>' Södra special'!D16+' Södra special'!D37+' Södra special'!D58</f>
        <v>183</v>
      </c>
      <c r="E23" s="71">
        <f>' Södra special'!E16+' Södra special'!E37+' Södra special'!E58</f>
        <v>0</v>
      </c>
      <c r="F23" s="71">
        <f>' Södra special'!F16+' Södra special'!F37+' Södra special'!F58</f>
        <v>25</v>
      </c>
      <c r="G23" s="71">
        <f>' Södra special'!G16+' Södra special'!G37+' Södra special'!G58</f>
        <v>2</v>
      </c>
      <c r="H23" s="71">
        <f>' Södra special'!H16+' Södra special'!H37+' Södra special'!H58</f>
        <v>3</v>
      </c>
      <c r="I23" s="71">
        <f>' Södra special'!I16+' Södra special'!I37+' Södra special'!I58</f>
        <v>1</v>
      </c>
      <c r="J23" s="71">
        <f>' Södra special'!J16+' Södra special'!J37+' Södra special'!J58</f>
        <v>0</v>
      </c>
      <c r="K23" s="71">
        <f>' Södra special'!K16+' Södra special'!K37+' Södra special'!K58</f>
        <v>0</v>
      </c>
      <c r="L23" s="71">
        <f>' Södra special'!L16+' Södra special'!L37+' Södra special'!L58</f>
        <v>13</v>
      </c>
      <c r="M23" s="71">
        <f>' Södra special'!M16+' Södra special'!M37+' Södra special'!M58</f>
        <v>0</v>
      </c>
      <c r="N23" s="71">
        <f t="shared" si="0"/>
        <v>2041</v>
      </c>
      <c r="O23" s="71">
        <f>' Södra special'!O16+' Södra special'!O37+' Södra special'!O58</f>
        <v>663</v>
      </c>
      <c r="P23" s="191">
        <f t="shared" si="2"/>
        <v>7.762464531820025E-2</v>
      </c>
      <c r="Q23" s="181">
        <v>4.6666666666666669E-2</v>
      </c>
      <c r="R23" s="22"/>
      <c r="S23" s="143">
        <v>383</v>
      </c>
      <c r="T23" s="143">
        <v>91</v>
      </c>
      <c r="V23" s="165">
        <v>4934</v>
      </c>
      <c r="W23" s="12">
        <v>1950</v>
      </c>
    </row>
    <row r="24" spans="1:23" ht="13" x14ac:dyDescent="0.25">
      <c r="A24" s="4" t="s">
        <v>22</v>
      </c>
      <c r="B24" s="71">
        <f>' Södra special'!B17+' Södra special'!B38+' Södra special'!B59</f>
        <v>4702</v>
      </c>
      <c r="C24" s="71">
        <f>' Södra special'!C17+' Södra special'!C38+' Södra special'!C59</f>
        <v>1565</v>
      </c>
      <c r="D24" s="71">
        <f>' Södra special'!D17+' Södra special'!D38+' Södra special'!D59</f>
        <v>132</v>
      </c>
      <c r="E24" s="71">
        <f>' Södra special'!E17+' Södra special'!E38+' Södra special'!E59</f>
        <v>2</v>
      </c>
      <c r="F24" s="71">
        <f>' Södra special'!F17+' Södra special'!F38+' Södra special'!F59</f>
        <v>28</v>
      </c>
      <c r="G24" s="71">
        <f>' Södra special'!G17+' Södra special'!G38+' Södra special'!G59</f>
        <v>0</v>
      </c>
      <c r="H24" s="71">
        <f>' Södra special'!H17+' Södra special'!H38+' Södra special'!H59</f>
        <v>2</v>
      </c>
      <c r="I24" s="71">
        <f>' Södra special'!I17+' Södra special'!I38+' Södra special'!I59</f>
        <v>0</v>
      </c>
      <c r="J24" s="71">
        <f>' Södra special'!J17+' Södra special'!J38+' Södra special'!J59</f>
        <v>0</v>
      </c>
      <c r="K24" s="71">
        <f>' Södra special'!K17+' Södra special'!K38+' Södra special'!K59</f>
        <v>0</v>
      </c>
      <c r="L24" s="71">
        <f>' Södra special'!L17+' Södra special'!L38+' Södra special'!L59</f>
        <v>3</v>
      </c>
      <c r="M24" s="71">
        <f>' Södra special'!M17+' Södra special'!M38+' Södra special'!M59</f>
        <v>0</v>
      </c>
      <c r="N24" s="71">
        <f t="shared" si="0"/>
        <v>1732</v>
      </c>
      <c r="O24" s="71">
        <f>' Södra special'!O17+' Södra special'!O38+' Södra special'!O59</f>
        <v>587</v>
      </c>
      <c r="P24" s="189">
        <f t="shared" si="2"/>
        <v>0.12166030534351145</v>
      </c>
      <c r="Q24" s="184">
        <v>0.13350785340314136</v>
      </c>
      <c r="R24" s="22"/>
      <c r="S24" s="169">
        <v>510</v>
      </c>
      <c r="T24" s="169">
        <v>204</v>
      </c>
      <c r="V24" s="166">
        <v>4192</v>
      </c>
      <c r="W24" s="12">
        <v>1528</v>
      </c>
    </row>
    <row r="25" spans="1:23" ht="13" x14ac:dyDescent="0.3">
      <c r="A25" s="119" t="s">
        <v>97</v>
      </c>
      <c r="B25" s="41">
        <f>SUM(B13:B24)</f>
        <v>101510</v>
      </c>
      <c r="C25" s="41">
        <f t="shared" ref="C25:O25" si="3">SUM(C13:C24)</f>
        <v>27944</v>
      </c>
      <c r="D25" s="41">
        <f t="shared" si="3"/>
        <v>1977</v>
      </c>
      <c r="E25" s="41">
        <f t="shared" si="3"/>
        <v>101</v>
      </c>
      <c r="F25" s="41">
        <f t="shared" si="3"/>
        <v>410.5</v>
      </c>
      <c r="G25" s="41">
        <f t="shared" si="3"/>
        <v>107</v>
      </c>
      <c r="H25" s="41">
        <f t="shared" si="3"/>
        <v>503</v>
      </c>
      <c r="I25" s="41">
        <f t="shared" si="3"/>
        <v>3709</v>
      </c>
      <c r="J25" s="41">
        <f t="shared" si="3"/>
        <v>581</v>
      </c>
      <c r="K25" s="41">
        <f t="shared" si="3"/>
        <v>714</v>
      </c>
      <c r="L25" s="41">
        <f t="shared" si="3"/>
        <v>254</v>
      </c>
      <c r="M25" s="42">
        <f t="shared" si="3"/>
        <v>42</v>
      </c>
      <c r="N25" s="41">
        <f>SUM(N13:N24)</f>
        <v>36300.5</v>
      </c>
      <c r="O25" s="41">
        <f t="shared" si="3"/>
        <v>11883.2</v>
      </c>
      <c r="P25" s="253">
        <f>S25/V25</f>
        <v>8.6246298761948285E-3</v>
      </c>
      <c r="Q25" s="179">
        <v>-1.6459846103825729E-2</v>
      </c>
      <c r="R25" s="22"/>
      <c r="S25" s="143">
        <v>868</v>
      </c>
      <c r="T25" s="143">
        <v>-607.5</v>
      </c>
      <c r="V25" s="12">
        <v>100642</v>
      </c>
      <c r="W25" s="12">
        <v>36908</v>
      </c>
    </row>
    <row r="26" spans="1:23" ht="13" x14ac:dyDescent="0.3">
      <c r="A26" s="37" t="s">
        <v>90</v>
      </c>
      <c r="B26" s="9">
        <v>100642</v>
      </c>
      <c r="C26" s="9">
        <v>28411</v>
      </c>
      <c r="D26" s="9">
        <v>2075</v>
      </c>
      <c r="E26" s="9">
        <v>78</v>
      </c>
      <c r="F26" s="9">
        <v>390</v>
      </c>
      <c r="G26" s="9">
        <v>124</v>
      </c>
      <c r="H26" s="9">
        <v>499</v>
      </c>
      <c r="I26" s="9">
        <v>3451</v>
      </c>
      <c r="J26" s="9">
        <v>665</v>
      </c>
      <c r="K26" s="9"/>
      <c r="L26" s="9">
        <v>223</v>
      </c>
      <c r="M26" s="9">
        <v>44</v>
      </c>
      <c r="N26" s="9">
        <v>36908</v>
      </c>
      <c r="O26" s="9">
        <v>33169</v>
      </c>
      <c r="P26" s="47"/>
      <c r="Q26" s="120"/>
    </row>
    <row r="27" spans="1:23" ht="13" x14ac:dyDescent="0.3">
      <c r="A27" s="5" t="s">
        <v>23</v>
      </c>
      <c r="B27" s="9">
        <f>B25-B26</f>
        <v>868</v>
      </c>
      <c r="C27" s="9">
        <f t="shared" ref="C27:O27" si="4">C25-C26</f>
        <v>-467</v>
      </c>
      <c r="D27" s="9">
        <f t="shared" si="4"/>
        <v>-98</v>
      </c>
      <c r="E27" s="9">
        <f t="shared" si="4"/>
        <v>23</v>
      </c>
      <c r="F27" s="9">
        <f t="shared" si="4"/>
        <v>20.5</v>
      </c>
      <c r="G27" s="9">
        <f t="shared" si="4"/>
        <v>-17</v>
      </c>
      <c r="H27" s="9">
        <f t="shared" si="4"/>
        <v>4</v>
      </c>
      <c r="I27" s="9">
        <f t="shared" si="4"/>
        <v>258</v>
      </c>
      <c r="J27" s="9">
        <f t="shared" si="4"/>
        <v>-84</v>
      </c>
      <c r="K27" s="9"/>
      <c r="L27" s="9">
        <f t="shared" si="4"/>
        <v>31</v>
      </c>
      <c r="M27" s="29">
        <f t="shared" si="4"/>
        <v>-2</v>
      </c>
      <c r="N27" s="9">
        <f t="shared" si="4"/>
        <v>-607.5</v>
      </c>
      <c r="O27" s="9">
        <f t="shared" si="4"/>
        <v>-21285.8</v>
      </c>
      <c r="P27" s="19"/>
      <c r="Q27" s="121"/>
    </row>
    <row r="31" spans="1:23" ht="13" x14ac:dyDescent="0.3">
      <c r="A31" s="38"/>
      <c r="B31" s="43"/>
      <c r="C31" s="43"/>
      <c r="D31" s="43"/>
      <c r="E31" s="43"/>
      <c r="F31" s="43"/>
      <c r="G31" s="43"/>
      <c r="H31" s="43"/>
      <c r="I31" s="43"/>
      <c r="J31" s="43"/>
      <c r="K31" s="43"/>
      <c r="L31" s="43"/>
      <c r="M31" s="70"/>
      <c r="N31" s="43"/>
      <c r="O31" s="43"/>
      <c r="P31" s="23"/>
      <c r="Q31" s="23"/>
    </row>
    <row r="38" spans="1:23" ht="13" x14ac:dyDescent="0.3">
      <c r="A38" s="1" t="s">
        <v>0</v>
      </c>
      <c r="B38" s="2" t="s">
        <v>1</v>
      </c>
      <c r="C38" s="2" t="s">
        <v>2</v>
      </c>
      <c r="D38" s="2" t="s">
        <v>3</v>
      </c>
      <c r="E38" s="2" t="s">
        <v>4</v>
      </c>
      <c r="F38" s="2" t="s">
        <v>5</v>
      </c>
      <c r="G38" s="67" t="s">
        <v>45</v>
      </c>
      <c r="H38" s="67" t="s">
        <v>46</v>
      </c>
      <c r="I38" s="67" t="s">
        <v>48</v>
      </c>
      <c r="J38" s="67" t="s">
        <v>47</v>
      </c>
      <c r="K38" s="67"/>
      <c r="L38" s="2" t="s">
        <v>6</v>
      </c>
      <c r="M38" s="33" t="s">
        <v>7</v>
      </c>
      <c r="N38" s="1" t="s">
        <v>8</v>
      </c>
      <c r="O38" s="2" t="s">
        <v>10</v>
      </c>
      <c r="P38" s="2" t="s">
        <v>1</v>
      </c>
      <c r="Q38" s="2" t="s">
        <v>9</v>
      </c>
      <c r="S38" s="163" t="s">
        <v>103</v>
      </c>
      <c r="T38" s="163" t="s">
        <v>104</v>
      </c>
      <c r="U38" s="164"/>
      <c r="V38" s="163" t="s">
        <v>94</v>
      </c>
      <c r="W38" s="163" t="s">
        <v>95</v>
      </c>
    </row>
    <row r="39" spans="1:23" ht="13" x14ac:dyDescent="0.25">
      <c r="A39" t="s">
        <v>11</v>
      </c>
      <c r="B39" s="71">
        <f>' Södra special'!B73+' Södra special'!B94+' Södra special'!B115</f>
        <v>4080</v>
      </c>
      <c r="C39" s="71">
        <f>' Södra special'!C73+' Södra special'!C94+' Södra special'!C115</f>
        <v>1400</v>
      </c>
      <c r="D39" s="71">
        <f>' Södra special'!D73+' Södra special'!D94+' Södra special'!D115</f>
        <v>164</v>
      </c>
      <c r="E39" s="71">
        <f>' Södra special'!E73+' Södra special'!E94+' Södra special'!E115</f>
        <v>0</v>
      </c>
      <c r="F39" s="71">
        <f>' Södra special'!F73+' Södra special'!F94+' Södra special'!F115</f>
        <v>19</v>
      </c>
      <c r="G39" s="71">
        <f>' Södra special'!G73+' Södra special'!G94+' Södra special'!G115</f>
        <v>0</v>
      </c>
      <c r="H39" s="71">
        <f>' Södra special'!H73+' Södra special'!H94+' Södra special'!H115</f>
        <v>2</v>
      </c>
      <c r="I39" s="71">
        <f>' Södra special'!I73+' Södra special'!I94+' Södra special'!I115</f>
        <v>1</v>
      </c>
      <c r="J39" s="71">
        <f>' Södra special'!J73+' Södra special'!J94+' Södra special'!J115</f>
        <v>0</v>
      </c>
      <c r="K39" s="71"/>
      <c r="L39" s="71">
        <f>' Södra special'!K73+' Södra special'!K94+' Södra special'!K115</f>
        <v>31</v>
      </c>
      <c r="M39" s="71">
        <f>' Södra special'!L73+' Södra special'!L94+' Södra special'!L115</f>
        <v>7</v>
      </c>
      <c r="N39" s="71">
        <f>C39+D39+E39+F39+G39+H39+J39</f>
        <v>1585</v>
      </c>
      <c r="O39" s="71">
        <f>' Södra special'!O73+' Södra special'!O94</f>
        <v>585</v>
      </c>
      <c r="P39" s="188">
        <f>S39/V39</f>
        <v>-2.9033793431699192E-2</v>
      </c>
      <c r="Q39" s="179">
        <f>T39/W39</f>
        <v>-6.2130177514792898E-2</v>
      </c>
      <c r="R39" s="22"/>
      <c r="S39" s="143">
        <f t="shared" ref="S39:S50" si="5">B39-V39</f>
        <v>-122</v>
      </c>
      <c r="T39" s="143">
        <f>N39-W39</f>
        <v>-105</v>
      </c>
      <c r="V39" s="165">
        <f t="shared" ref="V39:V50" si="6">B13</f>
        <v>4202</v>
      </c>
      <c r="W39" s="12">
        <f t="shared" ref="W39:W50" si="7">N13</f>
        <v>1690</v>
      </c>
    </row>
    <row r="40" spans="1:23" ht="13" x14ac:dyDescent="0.25">
      <c r="A40" t="s">
        <v>12</v>
      </c>
      <c r="B40" s="71">
        <v>3874</v>
      </c>
      <c r="C40" s="71">
        <v>1324</v>
      </c>
      <c r="D40" s="71">
        <v>132</v>
      </c>
      <c r="E40" s="71">
        <f>' Södra special'!E74+' Södra special'!E95+' Södra special'!E116</f>
        <v>0</v>
      </c>
      <c r="F40" s="71">
        <v>7</v>
      </c>
      <c r="G40" s="71">
        <f>' Södra special'!G74+' Södra special'!G95+' Södra special'!G116</f>
        <v>0</v>
      </c>
      <c r="H40" s="71">
        <f>' Södra special'!H74+' Södra special'!H95+' Södra special'!H116</f>
        <v>1</v>
      </c>
      <c r="I40" s="71">
        <f>' Södra special'!I74+' Södra special'!I95+' Södra special'!I116</f>
        <v>1</v>
      </c>
      <c r="J40" s="71">
        <f>' Södra special'!J74+' Södra special'!J95+' Södra special'!J116</f>
        <v>0</v>
      </c>
      <c r="K40" s="71"/>
      <c r="L40" s="71">
        <v>1</v>
      </c>
      <c r="M40" s="71">
        <f>' Södra special'!L74+' Södra special'!L95+' Södra special'!L116</f>
        <v>1</v>
      </c>
      <c r="N40" s="71">
        <f t="shared" ref="N40:N50" si="8">C40+D40+E40+F40+G40+H40+J40</f>
        <v>1464</v>
      </c>
      <c r="O40" s="71">
        <v>241</v>
      </c>
      <c r="P40" s="191">
        <f t="shared" ref="P40" si="9">S40/V40</f>
        <v>-0.2222445292110018</v>
      </c>
      <c r="Q40" s="181">
        <f t="shared" ref="Q40:Q42" si="10">T40/W40</f>
        <v>-0.21120689655172414</v>
      </c>
      <c r="R40" s="22"/>
      <c r="S40" s="143">
        <f t="shared" si="5"/>
        <v>-1107</v>
      </c>
      <c r="T40" s="143">
        <f t="shared" ref="T40:T50" si="11">N40-W40</f>
        <v>-392</v>
      </c>
      <c r="V40" s="165">
        <f t="shared" si="6"/>
        <v>4981</v>
      </c>
      <c r="W40" s="12">
        <f t="shared" si="7"/>
        <v>1856</v>
      </c>
    </row>
    <row r="41" spans="1:23" ht="13" x14ac:dyDescent="0.25">
      <c r="A41" t="s">
        <v>13</v>
      </c>
      <c r="B41" s="71">
        <f>' Södra special'!B75+' Södra special'!B96+' Södra special'!B117</f>
        <v>4507</v>
      </c>
      <c r="C41" s="71">
        <f>' Södra special'!C75+' Södra special'!C96+' Södra special'!C117</f>
        <v>1478</v>
      </c>
      <c r="D41" s="71">
        <f>' Södra special'!D75+' Södra special'!D96+' Södra special'!D117</f>
        <v>192</v>
      </c>
      <c r="E41" s="71">
        <f>' Södra special'!E75+' Södra special'!E96+' Södra special'!E117</f>
        <v>0</v>
      </c>
      <c r="F41" s="71">
        <f>' Södra special'!F75+' Södra special'!F96+' Södra special'!F117</f>
        <v>18</v>
      </c>
      <c r="G41" s="71">
        <f>' Södra special'!G75+' Södra special'!G96+' Södra special'!G117</f>
        <v>0</v>
      </c>
      <c r="H41" s="71">
        <f>' Södra special'!H75+' Södra special'!H96+' Södra special'!H117</f>
        <v>3</v>
      </c>
      <c r="I41" s="71">
        <f>' Södra special'!I75+' Södra special'!I96+' Södra special'!I117</f>
        <v>0</v>
      </c>
      <c r="J41" s="71">
        <f>' Södra special'!J75+' Södra special'!J96+' Södra special'!J117</f>
        <v>0</v>
      </c>
      <c r="K41" s="71"/>
      <c r="L41" s="71">
        <f>' Södra special'!K75+' Södra special'!K96+' Södra special'!K117</f>
        <v>62</v>
      </c>
      <c r="M41" s="71">
        <f>' Södra special'!L75+' Södra special'!L96+' Södra special'!L117</f>
        <v>2</v>
      </c>
      <c r="N41" s="71">
        <f t="shared" si="8"/>
        <v>1691</v>
      </c>
      <c r="O41" s="71">
        <f>' Södra special'!O75+' Södra special'!O96</f>
        <v>426</v>
      </c>
      <c r="P41" s="191">
        <f>S41/V41</f>
        <v>-3.9224046045619271E-2</v>
      </c>
      <c r="Q41" s="181">
        <f t="shared" si="10"/>
        <v>-0.1928400954653938</v>
      </c>
      <c r="R41" s="22"/>
      <c r="S41" s="143">
        <f t="shared" si="5"/>
        <v>-184</v>
      </c>
      <c r="T41" s="143">
        <f t="shared" si="11"/>
        <v>-404</v>
      </c>
      <c r="V41" s="165">
        <f t="shared" si="6"/>
        <v>4691</v>
      </c>
      <c r="W41" s="12">
        <f t="shared" si="7"/>
        <v>2095</v>
      </c>
    </row>
    <row r="42" spans="1:23" ht="13" x14ac:dyDescent="0.25">
      <c r="A42" t="s">
        <v>14</v>
      </c>
      <c r="B42" s="71">
        <f>' Södra special'!B76+' Södra special'!B97+' Södra special'!B118</f>
        <v>5344</v>
      </c>
      <c r="C42" s="71">
        <f>' Södra special'!C76+' Södra special'!C97+' Södra special'!C118</f>
        <v>1738</v>
      </c>
      <c r="D42" s="71">
        <f>' Södra special'!D76+' Södra special'!D97+' Södra special'!D118</f>
        <v>133</v>
      </c>
      <c r="E42" s="71">
        <f>' Södra special'!E76+' Södra special'!E97+' Södra special'!E118</f>
        <v>0</v>
      </c>
      <c r="F42" s="71">
        <f>' Södra special'!F76+' Södra special'!F97+' Södra special'!F118</f>
        <v>41</v>
      </c>
      <c r="G42" s="71">
        <f>' Södra special'!G76+' Södra special'!G97+' Södra special'!G118</f>
        <v>2</v>
      </c>
      <c r="H42" s="71">
        <f>' Södra special'!H76+' Södra special'!H97+' Södra special'!H118</f>
        <v>14</v>
      </c>
      <c r="I42" s="71">
        <f>' Södra special'!I76+' Södra special'!I97+' Södra special'!I118</f>
        <v>2</v>
      </c>
      <c r="J42" s="71">
        <f>' Södra special'!J76+' Södra special'!J97+' Södra special'!J118</f>
        <v>0</v>
      </c>
      <c r="K42" s="71"/>
      <c r="L42" s="71">
        <f>' Södra special'!K76+' Södra special'!K97+' Södra special'!K118</f>
        <v>0</v>
      </c>
      <c r="M42" s="71">
        <f>' Södra special'!L76+' Södra special'!L97+' Södra special'!L118</f>
        <v>19</v>
      </c>
      <c r="N42" s="71">
        <f t="shared" si="8"/>
        <v>1928</v>
      </c>
      <c r="O42" s="71">
        <f>' Södra special'!N76+' Södra special'!N97+' Södra special'!N118</f>
        <v>1691</v>
      </c>
      <c r="P42" s="191">
        <f t="shared" ref="P42:P51" si="12">S42/V42</f>
        <v>-0.12551137293405334</v>
      </c>
      <c r="Q42" s="181">
        <f t="shared" si="10"/>
        <v>-0.13813142601698702</v>
      </c>
      <c r="R42" s="22"/>
      <c r="S42" s="143">
        <f t="shared" si="5"/>
        <v>-767</v>
      </c>
      <c r="T42" s="143">
        <f t="shared" si="11"/>
        <v>-309</v>
      </c>
      <c r="V42" s="165">
        <f t="shared" si="6"/>
        <v>6111</v>
      </c>
      <c r="W42" s="12">
        <f t="shared" si="7"/>
        <v>2237</v>
      </c>
    </row>
    <row r="43" spans="1:23" ht="13" x14ac:dyDescent="0.25">
      <c r="A43" t="s">
        <v>15</v>
      </c>
      <c r="B43" s="71">
        <f>' Södra special'!B77+' Södra special'!B98+' Södra special'!B119</f>
        <v>9267</v>
      </c>
      <c r="C43" s="71">
        <f>' Södra special'!C77+' Södra special'!C98+' Södra special'!C119</f>
        <v>2784</v>
      </c>
      <c r="D43" s="71">
        <f>' Södra special'!D77+' Södra special'!D98+' Södra special'!D119</f>
        <v>197</v>
      </c>
      <c r="E43" s="71">
        <f>' Södra special'!E77+' Södra special'!E98+' Södra special'!E119</f>
        <v>4</v>
      </c>
      <c r="F43" s="71">
        <f>' Södra special'!F77+' Södra special'!F98+' Södra special'!F119</f>
        <v>42</v>
      </c>
      <c r="G43" s="71">
        <f>' Södra special'!G77+' Södra special'!G98+' Södra special'!G119</f>
        <v>6</v>
      </c>
      <c r="H43" s="71">
        <f>' Södra special'!H77+' Södra special'!H98+' Södra special'!H119</f>
        <v>26</v>
      </c>
      <c r="I43" s="71">
        <f>' Södra special'!I77+' Södra special'!I98+' Södra special'!I119</f>
        <v>59</v>
      </c>
      <c r="J43" s="71">
        <f>' Södra special'!J77+' Södra special'!J98+' Södra special'!J119</f>
        <v>24</v>
      </c>
      <c r="K43" s="71"/>
      <c r="L43" s="71">
        <f>' Södra special'!K77+' Södra special'!K98+' Södra special'!K119</f>
        <v>217</v>
      </c>
      <c r="M43" s="71">
        <f>' Södra special'!L77+' Södra special'!L98+' Södra special'!L119</f>
        <v>4</v>
      </c>
      <c r="N43" s="71">
        <f t="shared" si="8"/>
        <v>3083</v>
      </c>
      <c r="O43" s="71">
        <f>' Södra special'!N77+' Södra special'!N98+' Södra special'!N119</f>
        <v>3363</v>
      </c>
      <c r="P43" s="191">
        <f t="shared" si="12"/>
        <v>0.11288579320283415</v>
      </c>
      <c r="Q43" s="181">
        <f>T43/W43</f>
        <v>6.8582625734813843E-3</v>
      </c>
      <c r="R43" s="22"/>
      <c r="S43" s="143">
        <f t="shared" si="5"/>
        <v>940</v>
      </c>
      <c r="T43" s="143">
        <f t="shared" si="11"/>
        <v>21</v>
      </c>
      <c r="V43" s="165">
        <f t="shared" si="6"/>
        <v>8327</v>
      </c>
      <c r="W43" s="12">
        <f t="shared" si="7"/>
        <v>3062</v>
      </c>
    </row>
    <row r="44" spans="1:23" ht="13" x14ac:dyDescent="0.25">
      <c r="A44" t="s">
        <v>16</v>
      </c>
      <c r="B44" s="71">
        <f>' Södra special'!B78+' Södra special'!B99+' Södra special'!B120</f>
        <v>11836</v>
      </c>
      <c r="C44" s="71">
        <f>' Södra special'!C78+' Södra special'!C99+' Södra special'!C120</f>
        <v>3027</v>
      </c>
      <c r="D44" s="71">
        <f>' Södra special'!D78+' Södra special'!D99+' Södra special'!D120</f>
        <v>160</v>
      </c>
      <c r="E44" s="71">
        <f>' Södra special'!E78+' Södra special'!E99+' Södra special'!E120</f>
        <v>7</v>
      </c>
      <c r="F44" s="71">
        <f>' Södra special'!F78+' Södra special'!F99+' Södra special'!F120</f>
        <v>29</v>
      </c>
      <c r="G44" s="71">
        <f>' Södra special'!G78+' Södra special'!G99+' Södra special'!G120</f>
        <v>17</v>
      </c>
      <c r="H44" s="71">
        <f>' Södra special'!H78+' Södra special'!H99+' Södra special'!H120</f>
        <v>78</v>
      </c>
      <c r="I44" s="71">
        <f>' Södra special'!I78+' Södra special'!I99+' Södra special'!I120</f>
        <v>435</v>
      </c>
      <c r="J44" s="71">
        <f>' Södra special'!J78+' Södra special'!J99+' Södra special'!J120</f>
        <v>41</v>
      </c>
      <c r="K44" s="71"/>
      <c r="L44" s="71">
        <f>' Södra special'!K78+' Södra special'!K99+' Södra special'!K120</f>
        <v>0</v>
      </c>
      <c r="M44" s="71">
        <f>' Södra special'!L78+' Södra special'!L99+' Södra special'!L120</f>
        <v>1</v>
      </c>
      <c r="N44" s="71">
        <f t="shared" si="8"/>
        <v>3359</v>
      </c>
      <c r="O44" s="71">
        <f>' Södra special'!N78+' Södra special'!N99+' Södra special'!N120</f>
        <v>3795</v>
      </c>
      <c r="P44" s="191">
        <f t="shared" si="12"/>
        <v>-8.5670142912321362E-2</v>
      </c>
      <c r="Q44" s="181">
        <f t="shared" ref="Q44:Q51" si="13">T44/W44</f>
        <v>-0.23336756818441173</v>
      </c>
      <c r="R44" s="22"/>
      <c r="S44" s="143">
        <f t="shared" si="5"/>
        <v>-1109</v>
      </c>
      <c r="T44" s="143">
        <f t="shared" si="11"/>
        <v>-1022.5</v>
      </c>
      <c r="V44" s="165">
        <f t="shared" si="6"/>
        <v>12945</v>
      </c>
      <c r="W44" s="12">
        <f t="shared" si="7"/>
        <v>4381.5</v>
      </c>
    </row>
    <row r="45" spans="1:23" ht="13" x14ac:dyDescent="0.25">
      <c r="A45" t="s">
        <v>17</v>
      </c>
      <c r="B45" s="71">
        <f>' Södra special'!B79+' Södra special'!B100+' Södra special'!B121</f>
        <v>21188</v>
      </c>
      <c r="C45" s="71">
        <f>' Södra special'!C79+' Södra special'!C100+' Södra special'!C121</f>
        <v>4371</v>
      </c>
      <c r="D45" s="71">
        <f>' Södra special'!D79+' Södra special'!D100+' Södra special'!D121</f>
        <v>147</v>
      </c>
      <c r="E45" s="71">
        <f>' Södra special'!E79+' Södra special'!E100+' Södra special'!E121</f>
        <v>22</v>
      </c>
      <c r="F45" s="71">
        <f>' Södra special'!F79+' Södra special'!F100+' Södra special'!F121</f>
        <v>14</v>
      </c>
      <c r="G45" s="71">
        <f>' Södra special'!G79+' Södra special'!G100+' Södra special'!G121</f>
        <v>31</v>
      </c>
      <c r="H45" s="71">
        <f>' Södra special'!H79+' Södra special'!H100+' Södra special'!H121</f>
        <v>203</v>
      </c>
      <c r="I45" s="71">
        <f>' Södra special'!I79+' Södra special'!I100+' Södra special'!I121</f>
        <v>2201</v>
      </c>
      <c r="J45" s="71">
        <f>' Södra special'!J79+' Södra special'!J100+' Södra special'!J121</f>
        <v>231</v>
      </c>
      <c r="K45" s="71"/>
      <c r="L45" s="71">
        <f>' Södra special'!K79+' Södra special'!K100+' Södra special'!K121</f>
        <v>62</v>
      </c>
      <c r="M45" s="71">
        <f>' Södra special'!L79+' Södra special'!L100+' Södra special'!L121</f>
        <v>8</v>
      </c>
      <c r="N45" s="71">
        <f t="shared" si="8"/>
        <v>5019</v>
      </c>
      <c r="O45" s="71">
        <f>' Södra special'!N79+' Södra special'!N100+' Södra special'!N121</f>
        <v>7290</v>
      </c>
      <c r="P45" s="191">
        <f t="shared" si="12"/>
        <v>-6.3886188919324904E-2</v>
      </c>
      <c r="Q45" s="181">
        <f t="shared" si="13"/>
        <v>-0.3227634597220348</v>
      </c>
      <c r="R45" s="22"/>
      <c r="S45" s="143">
        <f t="shared" si="5"/>
        <v>-1446</v>
      </c>
      <c r="T45" s="143">
        <f t="shared" si="11"/>
        <v>-2392</v>
      </c>
      <c r="V45" s="165">
        <f t="shared" si="6"/>
        <v>22634</v>
      </c>
      <c r="W45" s="12">
        <f t="shared" si="7"/>
        <v>7411</v>
      </c>
    </row>
    <row r="46" spans="1:23" ht="13" x14ac:dyDescent="0.25">
      <c r="A46" t="s">
        <v>18</v>
      </c>
      <c r="B46" s="71">
        <f>' Södra special'!B80+' Södra special'!B101+' Södra special'!B122</f>
        <v>13385</v>
      </c>
      <c r="C46" s="71">
        <f>' Södra special'!C80+' Södra special'!C101+' Södra special'!C122</f>
        <v>3044</v>
      </c>
      <c r="D46" s="71">
        <f>' Södra special'!D80+' Södra special'!D101+' Södra special'!D122</f>
        <v>171</v>
      </c>
      <c r="E46" s="71">
        <f>' Södra special'!E80+' Södra special'!E101+' Södra special'!E122</f>
        <v>30</v>
      </c>
      <c r="F46" s="71">
        <f>' Södra special'!F80+' Södra special'!F101+' Södra special'!F122</f>
        <v>53</v>
      </c>
      <c r="G46" s="71">
        <f>' Södra special'!G80+' Södra special'!G101+' Södra special'!G122</f>
        <v>12</v>
      </c>
      <c r="H46" s="71">
        <f>' Södra special'!H80+' Södra special'!H101+' Södra special'!H122</f>
        <v>85</v>
      </c>
      <c r="I46" s="71">
        <f>' Södra special'!I80+' Södra special'!I101+' Södra special'!I122</f>
        <v>855</v>
      </c>
      <c r="J46" s="71">
        <f>' Södra special'!J80+' Södra special'!J101+' Södra special'!J122</f>
        <v>95</v>
      </c>
      <c r="K46" s="71"/>
      <c r="L46" s="71">
        <f>' Södra special'!K80+' Södra special'!K101+' Södra special'!K122</f>
        <v>31</v>
      </c>
      <c r="M46" s="71">
        <f>' Södra special'!L80+' Södra special'!L101+' Södra special'!L122</f>
        <v>4</v>
      </c>
      <c r="N46" s="71">
        <f t="shared" si="8"/>
        <v>3490</v>
      </c>
      <c r="O46" s="71">
        <f>' Södra special'!N80+' Södra special'!N101+' Södra special'!N122</f>
        <v>4380</v>
      </c>
      <c r="P46" s="191">
        <f t="shared" si="12"/>
        <v>-5.4998587969500141E-2</v>
      </c>
      <c r="Q46" s="181">
        <f t="shared" si="13"/>
        <v>-0.27803061646669425</v>
      </c>
      <c r="R46" s="22"/>
      <c r="S46" s="143">
        <f t="shared" si="5"/>
        <v>-779</v>
      </c>
      <c r="T46" s="143">
        <f t="shared" si="11"/>
        <v>-1344</v>
      </c>
      <c r="V46" s="165">
        <f t="shared" si="6"/>
        <v>14164</v>
      </c>
      <c r="W46" s="12">
        <f t="shared" si="7"/>
        <v>4834</v>
      </c>
    </row>
    <row r="47" spans="1:23" ht="13" x14ac:dyDescent="0.25">
      <c r="A47" t="s">
        <v>19</v>
      </c>
      <c r="B47" s="71">
        <f>' Södra special'!B81+' Södra special'!B102+' Södra special'!B123</f>
        <v>7457</v>
      </c>
      <c r="C47" s="71">
        <f>' Södra special'!C81+' Södra special'!C102+' Södra special'!C123</f>
        <v>2294</v>
      </c>
      <c r="D47" s="71">
        <f>' Södra special'!D81+' Södra special'!D102+' Södra special'!D123</f>
        <v>160</v>
      </c>
      <c r="E47" s="71">
        <f>' Södra special'!E81+' Södra special'!E102+' Södra special'!E123</f>
        <v>4</v>
      </c>
      <c r="F47" s="71">
        <f>' Södra special'!F81+' Södra special'!F102+' Södra special'!F123</f>
        <v>41</v>
      </c>
      <c r="G47" s="71">
        <f>' Södra special'!G81+' Södra special'!G102+' Södra special'!G123</f>
        <v>2</v>
      </c>
      <c r="H47" s="71">
        <f>' Södra special'!H81+' Södra special'!H102+' Södra special'!H123</f>
        <v>26</v>
      </c>
      <c r="I47" s="71">
        <f>' Södra special'!I81+' Södra special'!I102+' Södra special'!I123</f>
        <v>50</v>
      </c>
      <c r="J47" s="71">
        <f>' Södra special'!J81+' Södra special'!J102+' Södra special'!J123</f>
        <v>12</v>
      </c>
      <c r="K47" s="71"/>
      <c r="L47" s="71">
        <f>' Södra special'!K81+' Södra special'!K102+' Södra special'!K123</f>
        <v>0</v>
      </c>
      <c r="M47" s="71">
        <f>' Södra special'!L81+' Södra special'!L102+' Södra special'!L123</f>
        <v>4</v>
      </c>
      <c r="N47" s="71">
        <f t="shared" si="8"/>
        <v>2539</v>
      </c>
      <c r="O47" s="71">
        <f>' Södra special'!N81+' Södra special'!N102+' Södra special'!N123</f>
        <v>2593</v>
      </c>
      <c r="P47" s="191">
        <f t="shared" si="12"/>
        <v>6.0712358337830542E-3</v>
      </c>
      <c r="Q47" s="181">
        <f t="shared" si="13"/>
        <v>-5.2611940298507465E-2</v>
      </c>
      <c r="R47" s="22"/>
      <c r="S47" s="143">
        <f t="shared" si="5"/>
        <v>45</v>
      </c>
      <c r="T47" s="143">
        <f t="shared" si="11"/>
        <v>-141</v>
      </c>
      <c r="V47" s="165">
        <f t="shared" si="6"/>
        <v>7412</v>
      </c>
      <c r="W47" s="12">
        <f t="shared" si="7"/>
        <v>2680</v>
      </c>
    </row>
    <row r="48" spans="1:23" ht="13" x14ac:dyDescent="0.25">
      <c r="A48" t="s">
        <v>20</v>
      </c>
      <c r="B48" s="71">
        <f>' Södra special'!B82+' Södra special'!B103+' Södra special'!B124</f>
        <v>6031</v>
      </c>
      <c r="C48" s="71">
        <f>' Södra special'!C82+' Södra special'!C103+' Södra special'!C124</f>
        <v>1941</v>
      </c>
      <c r="D48" s="71">
        <f>' Södra special'!D82+' Södra special'!D103+' Södra special'!D124</f>
        <v>165</v>
      </c>
      <c r="E48" s="71">
        <f>' Södra special'!E82+' Södra special'!E103+' Södra special'!E124</f>
        <v>2</v>
      </c>
      <c r="F48" s="71">
        <f>' Södra special'!F82+' Södra special'!F103+' Södra special'!F124</f>
        <v>36</v>
      </c>
      <c r="G48" s="71">
        <f>' Södra special'!G82+' Södra special'!G103+' Södra special'!G124</f>
        <v>3</v>
      </c>
      <c r="H48" s="71">
        <f>' Södra special'!H82+' Södra special'!H103+' Södra special'!H124</f>
        <v>7</v>
      </c>
      <c r="I48" s="71">
        <f>' Södra special'!I82+' Södra special'!I103+' Södra special'!I124</f>
        <v>4</v>
      </c>
      <c r="J48" s="71">
        <f>' Södra special'!J82+' Södra special'!J103+' Södra special'!J124</f>
        <v>5</v>
      </c>
      <c r="K48" s="71"/>
      <c r="L48" s="71">
        <f>' Södra special'!K82+' Södra special'!K103+' Södra special'!K124</f>
        <v>31</v>
      </c>
      <c r="M48" s="71">
        <f>' Södra special'!L82+' Södra special'!L103+' Södra special'!L124</f>
        <v>2</v>
      </c>
      <c r="N48" s="71">
        <f t="shared" si="8"/>
        <v>2159</v>
      </c>
      <c r="O48" s="71">
        <f>' Södra special'!N82+' Södra special'!N103+' Södra special'!N124</f>
        <v>2196</v>
      </c>
      <c r="P48" s="191">
        <f t="shared" si="12"/>
        <v>1.1620185922974768E-3</v>
      </c>
      <c r="Q48" s="181">
        <f t="shared" si="13"/>
        <v>-5.3485313459009205E-2</v>
      </c>
      <c r="R48" s="22"/>
      <c r="S48" s="143">
        <f t="shared" si="5"/>
        <v>7</v>
      </c>
      <c r="T48" s="143">
        <f t="shared" si="11"/>
        <v>-122</v>
      </c>
      <c r="V48" s="165">
        <f t="shared" si="6"/>
        <v>6024</v>
      </c>
      <c r="W48" s="12">
        <f t="shared" si="7"/>
        <v>2281</v>
      </c>
    </row>
    <row r="49" spans="1:23" ht="13" x14ac:dyDescent="0.25">
      <c r="A49" t="s">
        <v>21</v>
      </c>
      <c r="B49" s="71">
        <f>' Södra special'!B83+' Södra special'!B104+' Södra special'!B125</f>
        <v>4288</v>
      </c>
      <c r="C49" s="71">
        <f>' Södra special'!C83+' Södra special'!C104+' Södra special'!C125</f>
        <v>1429</v>
      </c>
      <c r="D49" s="71">
        <f>' Södra special'!D83+' Södra special'!D104+' Södra special'!D125</f>
        <v>142</v>
      </c>
      <c r="E49" s="71">
        <f>' Södra special'!E83+' Södra special'!E104+' Södra special'!E125</f>
        <v>0</v>
      </c>
      <c r="F49" s="71">
        <f>' Södra special'!F83+' Södra special'!F104+' Södra special'!F125</f>
        <v>51</v>
      </c>
      <c r="G49" s="71">
        <f>' Södra special'!G83+' Södra special'!G104+' Södra special'!G125</f>
        <v>0</v>
      </c>
      <c r="H49" s="71">
        <f>' Södra special'!H83+' Södra special'!H104+' Södra special'!H125</f>
        <v>3</v>
      </c>
      <c r="I49" s="71">
        <f>' Södra special'!I83+' Södra special'!I104+' Södra special'!I125</f>
        <v>0</v>
      </c>
      <c r="J49" s="71">
        <f>' Södra special'!J83+' Södra special'!J104+' Södra special'!J125</f>
        <v>0</v>
      </c>
      <c r="K49" s="71"/>
      <c r="L49" s="71">
        <f>' Södra special'!K83+' Södra special'!K104+' Södra special'!K125</f>
        <v>0</v>
      </c>
      <c r="M49" s="71">
        <f>' Södra special'!L83+' Södra special'!L104+' Södra special'!L125</f>
        <v>2</v>
      </c>
      <c r="N49" s="71">
        <f t="shared" si="8"/>
        <v>1625</v>
      </c>
      <c r="O49" s="71">
        <f>' Södra special'!N83+' Södra special'!N104+' Södra special'!N125</f>
        <v>1627</v>
      </c>
      <c r="P49" s="191">
        <f t="shared" si="12"/>
        <v>-0.19353018619522286</v>
      </c>
      <c r="Q49" s="181">
        <f t="shared" si="13"/>
        <v>-0.20382165605095542</v>
      </c>
      <c r="R49" s="22"/>
      <c r="S49" s="143">
        <f t="shared" si="5"/>
        <v>-1029</v>
      </c>
      <c r="T49" s="143">
        <f t="shared" si="11"/>
        <v>-416</v>
      </c>
      <c r="V49" s="165">
        <f t="shared" si="6"/>
        <v>5317</v>
      </c>
      <c r="W49" s="12">
        <f t="shared" si="7"/>
        <v>2041</v>
      </c>
    </row>
    <row r="50" spans="1:23" ht="13" x14ac:dyDescent="0.25">
      <c r="A50" s="4" t="s">
        <v>22</v>
      </c>
      <c r="B50" s="71">
        <f>' Södra special'!B84+' Södra special'!B105+' Södra special'!B126</f>
        <v>4523</v>
      </c>
      <c r="C50" s="71">
        <f>' Södra special'!C84+' Södra special'!C105+' Södra special'!C126</f>
        <v>1478</v>
      </c>
      <c r="D50" s="71">
        <f>' Södra special'!D84+' Södra special'!D105+' Södra special'!D126</f>
        <v>117</v>
      </c>
      <c r="E50" s="71">
        <f>' Södra special'!E84+' Södra special'!E105+' Södra special'!E126</f>
        <v>2</v>
      </c>
      <c r="F50" s="71">
        <f>' Södra special'!F84+' Södra special'!F105+' Södra special'!F126</f>
        <v>23</v>
      </c>
      <c r="G50" s="71">
        <f>' Södra special'!G84+' Södra special'!G105+' Södra special'!G126</f>
        <v>0</v>
      </c>
      <c r="H50" s="71">
        <f>' Södra special'!H84+' Södra special'!H105+' Södra special'!H126</f>
        <v>3</v>
      </c>
      <c r="I50" s="71">
        <f>' Södra special'!I84+' Södra special'!I105+' Södra special'!I126</f>
        <v>0</v>
      </c>
      <c r="J50" s="71">
        <f>' Södra special'!J84+' Södra special'!J105+' Södra special'!J126</f>
        <v>0</v>
      </c>
      <c r="K50" s="71"/>
      <c r="L50" s="71">
        <f>' Södra special'!K84+' Södra special'!K105+' Södra special'!K126</f>
        <v>0</v>
      </c>
      <c r="M50" s="71">
        <f>' Södra special'!L84+' Södra special'!L105+' Södra special'!L126</f>
        <v>0</v>
      </c>
      <c r="N50" s="71">
        <f t="shared" si="8"/>
        <v>1623</v>
      </c>
      <c r="O50" s="71">
        <f>' Södra special'!N84+' Södra special'!N105+' Södra special'!N126</f>
        <v>1623</v>
      </c>
      <c r="P50" s="189">
        <f t="shared" si="12"/>
        <v>-3.8068906848149724E-2</v>
      </c>
      <c r="Q50" s="184">
        <f t="shared" si="13"/>
        <v>-6.2933025404157045E-2</v>
      </c>
      <c r="R50" s="22"/>
      <c r="S50" s="169">
        <f t="shared" si="5"/>
        <v>-179</v>
      </c>
      <c r="T50" s="169">
        <f t="shared" si="11"/>
        <v>-109</v>
      </c>
      <c r="V50" s="166">
        <f t="shared" si="6"/>
        <v>4702</v>
      </c>
      <c r="W50" s="20">
        <f t="shared" si="7"/>
        <v>1732</v>
      </c>
    </row>
    <row r="51" spans="1:23" ht="13" x14ac:dyDescent="0.3">
      <c r="A51" s="119" t="s">
        <v>107</v>
      </c>
      <c r="B51" s="41">
        <f>SUM(B39:B50)</f>
        <v>95780</v>
      </c>
      <c r="C51" s="41">
        <f t="shared" ref="C51:O51" si="14">SUM(C39:C50)</f>
        <v>26308</v>
      </c>
      <c r="D51" s="41">
        <f t="shared" si="14"/>
        <v>1880</v>
      </c>
      <c r="E51" s="41">
        <f t="shared" si="14"/>
        <v>71</v>
      </c>
      <c r="F51" s="41">
        <f t="shared" si="14"/>
        <v>374</v>
      </c>
      <c r="G51" s="41">
        <f t="shared" si="14"/>
        <v>73</v>
      </c>
      <c r="H51" s="41">
        <f t="shared" si="14"/>
        <v>451</v>
      </c>
      <c r="I51" s="41">
        <f t="shared" si="14"/>
        <v>3608</v>
      </c>
      <c r="J51" s="41">
        <f t="shared" si="14"/>
        <v>408</v>
      </c>
      <c r="K51" s="41"/>
      <c r="L51" s="41">
        <f t="shared" si="14"/>
        <v>435</v>
      </c>
      <c r="M51" s="42">
        <f t="shared" si="14"/>
        <v>54</v>
      </c>
      <c r="N51" s="41">
        <f t="shared" si="14"/>
        <v>29565</v>
      </c>
      <c r="O51" s="41">
        <f t="shared" si="14"/>
        <v>29810</v>
      </c>
      <c r="P51" s="191">
        <f t="shared" si="12"/>
        <v>-5.6447640626539258E-2</v>
      </c>
      <c r="Q51" s="179">
        <f t="shared" si="13"/>
        <v>-0.1855484084241264</v>
      </c>
      <c r="R51" s="22"/>
      <c r="S51" s="143">
        <f>SUM(S39:S50)</f>
        <v>-5730</v>
      </c>
      <c r="T51" s="143">
        <f>SUM(T39:T50)</f>
        <v>-6735.5</v>
      </c>
      <c r="V51" s="12">
        <f>SUM(V39:V50)</f>
        <v>101510</v>
      </c>
      <c r="W51" s="12">
        <f>SUM(W39:W50)</f>
        <v>36300.5</v>
      </c>
    </row>
    <row r="52" spans="1:23" ht="13" x14ac:dyDescent="0.3">
      <c r="A52" s="37" t="s">
        <v>97</v>
      </c>
      <c r="B52" s="9">
        <v>100848</v>
      </c>
      <c r="C52" s="9">
        <v>27718</v>
      </c>
      <c r="D52" s="9">
        <v>1965</v>
      </c>
      <c r="E52" s="9">
        <v>101</v>
      </c>
      <c r="F52" s="9">
        <v>405.5</v>
      </c>
      <c r="G52" s="9">
        <v>106</v>
      </c>
      <c r="H52" s="9">
        <v>503</v>
      </c>
      <c r="I52" s="9">
        <v>3708</v>
      </c>
      <c r="J52" s="9">
        <v>581</v>
      </c>
      <c r="K52" s="9"/>
      <c r="L52" s="9">
        <v>741</v>
      </c>
      <c r="M52" s="9">
        <v>247</v>
      </c>
      <c r="N52" s="9">
        <v>36048.5</v>
      </c>
      <c r="O52" s="9">
        <v>11826.2</v>
      </c>
      <c r="P52" s="21">
        <v>2.0468591641660538E-3</v>
      </c>
      <c r="Q52" s="156">
        <v>0.26882193516595687</v>
      </c>
    </row>
    <row r="53" spans="1:23" ht="13" x14ac:dyDescent="0.3">
      <c r="A53" s="5" t="s">
        <v>23</v>
      </c>
      <c r="B53" s="9">
        <f>B51-B52</f>
        <v>-5068</v>
      </c>
      <c r="C53" s="9">
        <f t="shared" ref="C53:O53" si="15">C51-C52</f>
        <v>-1410</v>
      </c>
      <c r="D53" s="9">
        <f t="shared" si="15"/>
        <v>-85</v>
      </c>
      <c r="E53" s="9">
        <f t="shared" si="15"/>
        <v>-30</v>
      </c>
      <c r="F53" s="9">
        <f t="shared" si="15"/>
        <v>-31.5</v>
      </c>
      <c r="G53" s="9">
        <f t="shared" si="15"/>
        <v>-33</v>
      </c>
      <c r="H53" s="9">
        <f t="shared" si="15"/>
        <v>-52</v>
      </c>
      <c r="I53" s="9">
        <f t="shared" si="15"/>
        <v>-100</v>
      </c>
      <c r="J53" s="9">
        <f t="shared" si="15"/>
        <v>-173</v>
      </c>
      <c r="K53" s="9"/>
      <c r="L53" s="9">
        <f t="shared" si="15"/>
        <v>-306</v>
      </c>
      <c r="M53" s="29">
        <f t="shared" si="15"/>
        <v>-193</v>
      </c>
      <c r="N53" s="9">
        <f t="shared" si="15"/>
        <v>-6483.5</v>
      </c>
      <c r="O53" s="9">
        <f t="shared" si="15"/>
        <v>17983.8</v>
      </c>
      <c r="P53" s="19"/>
      <c r="Q53" s="121"/>
    </row>
    <row r="55" spans="1:23" ht="12.75" customHeight="1" thickBot="1" x14ac:dyDescent="0.3"/>
    <row r="56" spans="1:23" ht="12.75" customHeight="1" x14ac:dyDescent="0.25">
      <c r="C56" s="368"/>
      <c r="D56" s="369"/>
      <c r="E56" s="369"/>
      <c r="F56" s="369"/>
      <c r="G56" s="369"/>
      <c r="H56" s="369"/>
      <c r="I56" s="369"/>
      <c r="J56" s="370"/>
    </row>
    <row r="57" spans="1:23" ht="18" x14ac:dyDescent="0.25">
      <c r="C57" s="371"/>
      <c r="F57" s="335" t="s">
        <v>171</v>
      </c>
      <c r="J57" s="372"/>
    </row>
    <row r="58" spans="1:23" ht="12.75" customHeight="1" thickBot="1" x14ac:dyDescent="0.3">
      <c r="C58" s="373"/>
      <c r="D58" s="374"/>
      <c r="E58" s="374"/>
      <c r="F58" s="374"/>
      <c r="G58" s="374"/>
      <c r="H58" s="374"/>
      <c r="I58" s="374"/>
      <c r="J58" s="375"/>
    </row>
    <row r="60" spans="1:23" ht="12.75" customHeight="1" x14ac:dyDescent="0.3">
      <c r="A60" s="1" t="s">
        <v>0</v>
      </c>
      <c r="B60" s="2" t="s">
        <v>1</v>
      </c>
      <c r="C60" s="2" t="s">
        <v>2</v>
      </c>
      <c r="D60" s="2" t="s">
        <v>3</v>
      </c>
      <c r="E60" s="2" t="s">
        <v>4</v>
      </c>
      <c r="F60" s="2" t="s">
        <v>5</v>
      </c>
      <c r="G60" s="2" t="s">
        <v>45</v>
      </c>
      <c r="H60" s="2" t="s">
        <v>46</v>
      </c>
      <c r="I60" s="2" t="s">
        <v>48</v>
      </c>
      <c r="J60" s="405" t="s">
        <v>47</v>
      </c>
      <c r="K60" s="2" t="s">
        <v>179</v>
      </c>
      <c r="L60" s="2" t="s">
        <v>6</v>
      </c>
      <c r="M60" s="32" t="s">
        <v>7</v>
      </c>
      <c r="N60" s="1" t="s">
        <v>8</v>
      </c>
      <c r="O60" s="2" t="s">
        <v>10</v>
      </c>
      <c r="P60" s="2" t="s">
        <v>1</v>
      </c>
      <c r="Q60" s="2" t="s">
        <v>9</v>
      </c>
      <c r="S60" s="163" t="s">
        <v>129</v>
      </c>
      <c r="T60" s="163" t="s">
        <v>130</v>
      </c>
      <c r="U60" s="164"/>
      <c r="V60" s="163" t="s">
        <v>103</v>
      </c>
      <c r="W60" s="163" t="s">
        <v>104</v>
      </c>
    </row>
    <row r="61" spans="1:23" ht="12.75" customHeight="1" x14ac:dyDescent="0.25">
      <c r="A61" t="s">
        <v>11</v>
      </c>
      <c r="B61" s="16">
        <f>'[1] Södra special'!B828+'[1] Södra special'!B849+'[1] Södra special'!B807</f>
        <v>4768</v>
      </c>
      <c r="C61" s="16">
        <f>'[1] Södra special'!C807+'[1] Södra special'!C828+'[1] Södra special'!C849</f>
        <v>1980</v>
      </c>
      <c r="D61" s="16">
        <f>'[1] Södra special'!D807+'[1] Södra special'!D828+'[1] Södra special'!D849</f>
        <v>172</v>
      </c>
      <c r="E61" s="16">
        <f>'[1] Södra special'!E807+'[1] Södra special'!E828+'[1] Södra special'!E849</f>
        <v>3</v>
      </c>
      <c r="F61" s="16">
        <f>'[1] Södra special'!F807+'[1] Södra special'!F828+'[1] Södra special'!F849</f>
        <v>41</v>
      </c>
      <c r="G61" s="16">
        <f>'[1] Södra special'!G807+'[1] Södra special'!G828+'[1] Södra special'!G849</f>
        <v>5</v>
      </c>
      <c r="H61" s="16">
        <f>'[1] Södra special'!H807+'[1] Södra special'!H828+'[1] Södra special'!H849</f>
        <v>2</v>
      </c>
      <c r="I61" s="16">
        <f>'[1] Södra special'!I807+'[1] Södra special'!I828+'[1] Södra special'!I849</f>
        <v>3</v>
      </c>
      <c r="J61" s="16">
        <f>'[1] Södra special'!J807+'[1] Södra special'!J828+'[1] Södra special'!J849</f>
        <v>4</v>
      </c>
      <c r="K61" s="16">
        <f>'[1] Södra special'!K807+'[1] Södra special'!K828+'[1] Södra special'!K849</f>
        <v>0</v>
      </c>
      <c r="L61" s="16">
        <f>'[1] Södra special'!L807+'[1] Södra special'!L828+'[1] Södra special'!L849</f>
        <v>92</v>
      </c>
      <c r="M61" s="16">
        <f>'[1] Södra special'!M807+'[1] Södra special'!M828+'[1] Södra special'!M849</f>
        <v>4</v>
      </c>
      <c r="N61" s="16">
        <f t="shared" ref="N61:N62" si="16">C61+D61+E61+F61+G61+H61+J61+I61+K61+L61</f>
        <v>2302</v>
      </c>
      <c r="O61" s="16">
        <f>'[1] Södra special'!O828+'[1] Södra special'!O807+'[1] Södra special'!O849</f>
        <v>2346</v>
      </c>
      <c r="P61" s="285">
        <f t="shared" ref="P61:Q73" si="17">S61/V61</f>
        <v>0.16862745098039217</v>
      </c>
      <c r="Q61" s="286">
        <f t="shared" si="17"/>
        <v>0.42362399505256648</v>
      </c>
      <c r="S61" s="143">
        <f t="shared" ref="S61:S72" si="18">B61-V61</f>
        <v>688</v>
      </c>
      <c r="T61" s="143">
        <f>N61-W61</f>
        <v>685</v>
      </c>
      <c r="V61" s="165">
        <v>4080</v>
      </c>
      <c r="W61" s="12">
        <v>1617</v>
      </c>
    </row>
    <row r="62" spans="1:23" ht="12.75" customHeight="1" x14ac:dyDescent="0.25">
      <c r="A62" t="s">
        <v>12</v>
      </c>
      <c r="B62" s="16">
        <f>'[1] Södra special'!B829+'[1] Södra special'!B850+'[1] Södra special'!B808</f>
        <v>8015</v>
      </c>
      <c r="C62" s="16">
        <f>'[1] Södra special'!C808+'[1] Södra special'!C829+'[1] Södra special'!C850</f>
        <v>2836</v>
      </c>
      <c r="D62" s="16">
        <f>'[1] Södra special'!D808+'[1] Södra special'!D829+'[1] Södra special'!D850</f>
        <v>221</v>
      </c>
      <c r="E62" s="16">
        <f>'[1] Södra special'!E808+'[1] Södra special'!E829+'[1] Södra special'!E850</f>
        <v>20</v>
      </c>
      <c r="F62" s="16">
        <f>'[1] Södra special'!F808+'[1] Södra special'!F829+'[1] Södra special'!F850</f>
        <v>58</v>
      </c>
      <c r="G62" s="16">
        <f>'[1] Södra special'!G808+'[1] Södra special'!G829+'[1] Södra special'!G850</f>
        <v>13</v>
      </c>
      <c r="H62" s="16">
        <f>'[1] Södra special'!H808+'[1] Södra special'!H829+'[1] Södra special'!H850</f>
        <v>18</v>
      </c>
      <c r="I62" s="16">
        <f>'[1] Södra special'!I808+'[1] Södra special'!I829+'[1] Södra special'!I850</f>
        <v>142</v>
      </c>
      <c r="J62" s="16">
        <f>'[1] Södra special'!J808+'[1] Södra special'!J829+'[1] Södra special'!J850</f>
        <v>52</v>
      </c>
      <c r="K62" s="16">
        <f>'[1] Södra special'!K808+'[1] Södra special'!K829+'[1] Södra special'!K850</f>
        <v>0</v>
      </c>
      <c r="L62" s="16">
        <f>'[1] Södra special'!L808+'[1] Södra special'!L829+'[1] Södra special'!L850</f>
        <v>137</v>
      </c>
      <c r="M62" s="16">
        <f>'[1] Södra special'!M808+'[1] Södra special'!M829+'[1] Södra special'!M850</f>
        <v>5</v>
      </c>
      <c r="N62" s="16">
        <f t="shared" si="16"/>
        <v>3497</v>
      </c>
      <c r="O62" s="16">
        <f>'[1] Södra special'!O829+'[1] Södra special'!O808+'[1] Södra special'!O850</f>
        <v>2959</v>
      </c>
      <c r="P62" s="285">
        <f t="shared" si="17"/>
        <v>1.068921011874032</v>
      </c>
      <c r="Q62" s="287">
        <f t="shared" si="17"/>
        <v>1.3854024556616644</v>
      </c>
      <c r="S62" s="143">
        <f t="shared" si="18"/>
        <v>4141</v>
      </c>
      <c r="T62" s="143">
        <f t="shared" ref="T62:T72" si="19">N62-W62</f>
        <v>2031</v>
      </c>
      <c r="V62" s="165">
        <v>3874</v>
      </c>
      <c r="W62" s="12">
        <v>1466</v>
      </c>
    </row>
    <row r="63" spans="1:23" ht="12.75" customHeight="1" x14ac:dyDescent="0.25">
      <c r="A63" t="s">
        <v>13</v>
      </c>
      <c r="B63" s="16">
        <f>'[1] Södra special'!B830+'[1] Södra special'!B851+'[1] Södra special'!B809</f>
        <v>13617</v>
      </c>
      <c r="C63" s="16">
        <f>'[1] Södra special'!C809+'[1] Södra special'!C830+'[1] Södra special'!C851</f>
        <v>3806</v>
      </c>
      <c r="D63" s="16">
        <f>'[1] Södra special'!D809+'[1] Södra special'!D830+'[1] Södra special'!D851</f>
        <v>288</v>
      </c>
      <c r="E63" s="16">
        <f>'[1] Södra special'!E809+'[1] Södra special'!E830+'[1] Södra special'!E851</f>
        <v>50</v>
      </c>
      <c r="F63" s="16">
        <f>'[1] Södra special'!F809+'[1] Södra special'!F830+'[1] Södra special'!F851</f>
        <v>45</v>
      </c>
      <c r="G63" s="16">
        <f>'[1] Södra special'!G809+'[1] Södra special'!G830+'[1] Södra special'!G851</f>
        <v>45</v>
      </c>
      <c r="H63" s="16">
        <f>'[1] Södra special'!H809+'[1] Södra special'!H830+'[1] Södra special'!H851</f>
        <v>99</v>
      </c>
      <c r="I63" s="16">
        <f>'[1] Södra special'!I809+'[1] Södra special'!I830+'[1] Södra special'!I851</f>
        <v>940</v>
      </c>
      <c r="J63" s="16">
        <f>'[1] Södra special'!J809+'[1] Södra special'!J830+'[1] Södra special'!J851</f>
        <v>283</v>
      </c>
      <c r="K63" s="16">
        <f>'[1] Södra special'!K809+'[1] Södra special'!K830+'[1] Södra special'!K851</f>
        <v>0</v>
      </c>
      <c r="L63" s="16">
        <f>'[1] Södra special'!L809+'[1] Södra special'!L830+'[1] Södra special'!L851</f>
        <v>150</v>
      </c>
      <c r="M63" s="16">
        <f>'[1] Södra special'!M809+'[1] Södra special'!M830+'[1] Södra special'!M851</f>
        <v>29</v>
      </c>
      <c r="N63" s="16">
        <f>C63+D63+E63+F63+G63+H63+J63+I63+K63+L63</f>
        <v>5706</v>
      </c>
      <c r="O63" s="16">
        <f>'[1] Södra special'!O830+'[1] Södra special'!O809+'[1] Södra special'!O851</f>
        <v>4413</v>
      </c>
      <c r="P63" s="285">
        <f t="shared" si="17"/>
        <v>2.0213001996893722</v>
      </c>
      <c r="Q63" s="287">
        <f t="shared" si="17"/>
        <v>2.2549914432401597</v>
      </c>
      <c r="S63" s="143">
        <f t="shared" si="18"/>
        <v>9110</v>
      </c>
      <c r="T63" s="143">
        <f t="shared" si="19"/>
        <v>3953</v>
      </c>
      <c r="V63" s="165">
        <v>4507</v>
      </c>
      <c r="W63" s="12">
        <v>1753</v>
      </c>
    </row>
    <row r="64" spans="1:23" ht="12.75" customHeight="1" x14ac:dyDescent="0.25">
      <c r="A64" t="s">
        <v>14</v>
      </c>
      <c r="B64" s="16">
        <f>'[1] Södra special'!B831+'[1] Södra special'!B852+'[1] Södra special'!B810</f>
        <v>17621</v>
      </c>
      <c r="C64" s="16">
        <f>'[1] Södra special'!C810+'[1] Södra special'!C831+'[1] Södra special'!C852</f>
        <v>4039</v>
      </c>
      <c r="D64" s="16">
        <f>'[1] Södra special'!D810+'[1] Södra special'!D831+'[1] Södra special'!D852</f>
        <v>243</v>
      </c>
      <c r="E64" s="16">
        <f>'[1] Södra special'!E810+'[1] Södra special'!E831+'[1] Södra special'!E852</f>
        <v>70</v>
      </c>
      <c r="F64" s="16">
        <f>'[1] Södra special'!F810+'[1] Södra special'!F831+'[1] Södra special'!F852</f>
        <v>31</v>
      </c>
      <c r="G64" s="16">
        <f>'[1] Södra special'!G810+'[1] Södra special'!G831+'[1] Södra special'!G852</f>
        <v>69</v>
      </c>
      <c r="H64" s="16">
        <f>'[1] Södra special'!H810+'[1] Södra special'!H831+'[1] Södra special'!H852</f>
        <v>149</v>
      </c>
      <c r="I64" s="16">
        <f>'[1] Södra special'!I810+'[1] Södra special'!I831+'[1] Södra special'!I852</f>
        <v>1509</v>
      </c>
      <c r="J64" s="16">
        <f>'[1] Södra special'!J810+'[1] Södra special'!J831+'[1] Södra special'!J852</f>
        <v>430</v>
      </c>
      <c r="K64" s="16">
        <f>'[1] Södra special'!K810+'[1] Södra special'!K831+'[1] Södra special'!K852</f>
        <v>0</v>
      </c>
      <c r="L64" s="16">
        <f>'[1] Södra special'!L810+'[1] Södra special'!L831+'[1] Södra special'!L852</f>
        <v>146</v>
      </c>
      <c r="M64" s="16">
        <f>'[1] Södra special'!M810+'[1] Södra special'!M831+'[1] Södra special'!M852</f>
        <v>15</v>
      </c>
      <c r="N64" s="16">
        <f t="shared" ref="N64:N72" si="20">C64+D64+E64+F64+G64+H64+J64+I64+K64+L64</f>
        <v>6686</v>
      </c>
      <c r="O64" s="16">
        <f>'[1] Södra special'!O831+'[1] Södra special'!O810+'[1] Södra special'!O852</f>
        <v>4515.5</v>
      </c>
      <c r="P64" s="285">
        <f t="shared" si="17"/>
        <v>2.2973428143712575</v>
      </c>
      <c r="Q64" s="287">
        <f>T64/W64</f>
        <v>2.4642487046632122</v>
      </c>
      <c r="S64" s="143">
        <f t="shared" si="18"/>
        <v>12277</v>
      </c>
      <c r="T64" s="143">
        <f t="shared" si="19"/>
        <v>4756</v>
      </c>
      <c r="V64" s="165">
        <v>5344</v>
      </c>
      <c r="W64" s="12">
        <v>1930</v>
      </c>
    </row>
    <row r="65" spans="1:23" ht="12.75" customHeight="1" x14ac:dyDescent="0.25">
      <c r="A65" t="s">
        <v>15</v>
      </c>
      <c r="B65" s="16">
        <f>'[1] Södra special'!B832+'[1] Södra special'!B853+'[1] Södra special'!B811</f>
        <v>16925</v>
      </c>
      <c r="C65" s="16">
        <f>'[1] Södra special'!C811+'[1] Södra special'!C832+'[1] Södra special'!C853</f>
        <v>4152</v>
      </c>
      <c r="D65" s="16">
        <f>'[1] Södra special'!D811+'[1] Södra special'!D832+'[1] Södra special'!D853</f>
        <v>240</v>
      </c>
      <c r="E65" s="16">
        <f>'[1] Södra special'!E811+'[1] Södra special'!E832+'[1] Södra special'!E853</f>
        <v>56</v>
      </c>
      <c r="F65" s="16">
        <f>'[1] Södra special'!F811+'[1] Södra special'!F832+'[1] Södra special'!F853</f>
        <v>39</v>
      </c>
      <c r="G65" s="16">
        <f>'[1] Södra special'!G811+'[1] Södra special'!G832+'[1] Södra special'!G853</f>
        <v>56</v>
      </c>
      <c r="H65" s="16">
        <f>'[1] Södra special'!H811+'[1] Södra special'!H832+'[1] Södra special'!H853</f>
        <v>134</v>
      </c>
      <c r="I65" s="16">
        <f>'[1] Södra special'!I811+'[1] Södra special'!I832+'[1] Södra special'!I853</f>
        <v>1324</v>
      </c>
      <c r="J65" s="16">
        <f>'[1] Södra special'!J811+'[1] Södra special'!J832+'[1] Södra special'!J853</f>
        <v>354</v>
      </c>
      <c r="K65" s="16">
        <f>'[1] Södra special'!K811+'[1] Södra special'!K832+'[1] Södra special'!K853</f>
        <v>0</v>
      </c>
      <c r="L65" s="16">
        <f>'[1] Södra special'!L811+'[1] Södra special'!L832+'[1] Södra special'!L853</f>
        <v>129</v>
      </c>
      <c r="M65" s="16">
        <f>'[1] Södra special'!M811+'[1] Södra special'!M832+'[1] Södra special'!M853</f>
        <v>31</v>
      </c>
      <c r="N65" s="16">
        <f t="shared" si="20"/>
        <v>6484</v>
      </c>
      <c r="O65" s="16">
        <f>'[1] Södra special'!O832+'[1] Södra special'!O811+'[1] Södra special'!O853</f>
        <v>4100</v>
      </c>
      <c r="P65" s="285">
        <f t="shared" si="17"/>
        <v>0.82637315204489048</v>
      </c>
      <c r="Q65" s="287">
        <f>T65/W65</f>
        <v>0.93033640964572795</v>
      </c>
      <c r="S65" s="143">
        <f t="shared" si="18"/>
        <v>7658</v>
      </c>
      <c r="T65" s="143">
        <f t="shared" si="19"/>
        <v>3125</v>
      </c>
      <c r="V65" s="165">
        <v>9267</v>
      </c>
      <c r="W65" s="12">
        <v>3359</v>
      </c>
    </row>
    <row r="66" spans="1:23" ht="12.75" customHeight="1" x14ac:dyDescent="0.25">
      <c r="A66" t="s">
        <v>16</v>
      </c>
      <c r="B66" s="16">
        <f>'[1] Södra special'!B833+'[1] Södra special'!B854+'[1] Södra special'!B812</f>
        <v>10704</v>
      </c>
      <c r="C66" s="16">
        <f>'[1] Södra special'!C812+'[1] Södra special'!C833+'[1] Södra special'!C854</f>
        <v>3072</v>
      </c>
      <c r="D66" s="16">
        <f>'[1] Södra special'!D812+'[1] Södra special'!D833+'[1] Södra special'!D854</f>
        <v>258</v>
      </c>
      <c r="E66" s="16">
        <f>'[1] Södra special'!E812+'[1] Södra special'!E833+'[1] Södra special'!E854</f>
        <v>59</v>
      </c>
      <c r="F66" s="16">
        <f>'[1] Södra special'!F812+'[1] Södra special'!F833+'[1] Södra special'!F854</f>
        <v>71</v>
      </c>
      <c r="G66" s="16">
        <f>'[1] Södra special'!G812+'[1] Södra special'!G833+'[1] Södra special'!G854</f>
        <v>22</v>
      </c>
      <c r="H66" s="16">
        <f>'[1] Södra special'!H812+'[1] Södra special'!H833+'[1] Södra special'!H854</f>
        <v>46</v>
      </c>
      <c r="I66" s="16">
        <f>'[1] Södra special'!I812+'[1] Södra special'!I833+'[1] Södra special'!I854</f>
        <v>581</v>
      </c>
      <c r="J66" s="16">
        <f>'[1] Södra special'!J812+'[1] Södra special'!J833+'[1] Södra special'!J854</f>
        <v>100</v>
      </c>
      <c r="K66" s="16">
        <f>'[1] Södra special'!K812+'[1] Södra special'!K833+'[1] Södra special'!K854</f>
        <v>0</v>
      </c>
      <c r="L66" s="16">
        <f>'[1] Södra special'!L812+'[1] Södra special'!L833+'[1] Södra special'!L854</f>
        <v>122</v>
      </c>
      <c r="M66" s="16">
        <f>'[1] Södra special'!M812+'[1] Södra special'!M833+'[1] Södra special'!M854</f>
        <v>5</v>
      </c>
      <c r="N66" s="16">
        <f t="shared" si="20"/>
        <v>4331</v>
      </c>
      <c r="O66" s="16">
        <f>'[1] Södra special'!O833+'[1] Södra special'!O812+'[1] Södra special'!O854</f>
        <v>3835</v>
      </c>
      <c r="P66" s="285">
        <f t="shared" si="17"/>
        <v>-9.5640419060493406E-2</v>
      </c>
      <c r="Q66" s="287">
        <f t="shared" si="17"/>
        <v>0.14153927253558249</v>
      </c>
      <c r="S66" s="143">
        <f t="shared" si="18"/>
        <v>-1132</v>
      </c>
      <c r="T66" s="143">
        <f t="shared" si="19"/>
        <v>537</v>
      </c>
      <c r="V66" s="165">
        <v>11836</v>
      </c>
      <c r="W66" s="12">
        <v>3794</v>
      </c>
    </row>
    <row r="67" spans="1:23" ht="12.75" customHeight="1" x14ac:dyDescent="0.25">
      <c r="A67" t="s">
        <v>17</v>
      </c>
      <c r="B67" s="16">
        <f>'[1] Södra special'!B834+'[1] Södra special'!B855+'[1] Södra special'!B813</f>
        <v>7513</v>
      </c>
      <c r="C67" s="16">
        <f>'[1] Södra special'!C813+'[1] Södra special'!C834+'[1] Södra special'!C855</f>
        <v>2486</v>
      </c>
      <c r="D67" s="16">
        <f>'[1] Södra special'!D813+'[1] Södra special'!D834+'[1] Södra special'!D855</f>
        <v>290</v>
      </c>
      <c r="E67" s="16">
        <f>'[1] Södra special'!E813+'[1] Södra special'!E834+'[1] Södra special'!E855</f>
        <v>10</v>
      </c>
      <c r="F67" s="16">
        <f>'[1] Södra special'!F813+'[1] Södra special'!F834+'[1] Södra special'!F855</f>
        <v>60</v>
      </c>
      <c r="G67" s="16">
        <f>'[1] Södra special'!G813+'[1] Södra special'!G834+'[1] Södra special'!G855</f>
        <v>4</v>
      </c>
      <c r="H67" s="16">
        <f>'[1] Södra special'!H813+'[1] Södra special'!H834+'[1] Södra special'!H855</f>
        <v>9</v>
      </c>
      <c r="I67" s="16">
        <f>'[1] Södra special'!I813+'[1] Södra special'!I834+'[1] Södra special'!I855</f>
        <v>14</v>
      </c>
      <c r="J67" s="16">
        <f>'[1] Södra special'!J813+'[1] Södra special'!J834+'[1] Södra special'!J855</f>
        <v>20</v>
      </c>
      <c r="K67" s="16">
        <f>'[1] Södra special'!K813+'[1] Södra special'!K834+'[1] Södra special'!K855</f>
        <v>0</v>
      </c>
      <c r="L67" s="16">
        <f>'[1] Södra special'!L813+'[1] Södra special'!L834+'[1] Södra special'!L855</f>
        <v>89</v>
      </c>
      <c r="M67" s="16">
        <f>'[1] Södra special'!M813+'[1] Södra special'!M834+'[1] Södra special'!M855</f>
        <v>0</v>
      </c>
      <c r="N67" s="16">
        <f t="shared" si="20"/>
        <v>2982</v>
      </c>
      <c r="O67" s="16">
        <f>'[1] Södra special'!O834+'[1] Södra special'!O813+'[1] Södra special'!O855</f>
        <v>2553</v>
      </c>
      <c r="P67" s="285">
        <f t="shared" si="17"/>
        <v>-0.64541249764017372</v>
      </c>
      <c r="Q67" s="287">
        <f t="shared" si="17"/>
        <v>-0.5904971161768745</v>
      </c>
      <c r="S67" s="143">
        <f t="shared" si="18"/>
        <v>-13675</v>
      </c>
      <c r="T67" s="143">
        <f t="shared" si="19"/>
        <v>-4300</v>
      </c>
      <c r="V67" s="165">
        <v>21188</v>
      </c>
      <c r="W67" s="12">
        <v>7282</v>
      </c>
    </row>
    <row r="68" spans="1:23" ht="12.75" customHeight="1" x14ac:dyDescent="0.25">
      <c r="A68" t="s">
        <v>18</v>
      </c>
      <c r="B68" s="16">
        <f>'[1] Södra special'!B835+'[1] Södra special'!B856+'[1] Södra special'!B814</f>
        <v>5309</v>
      </c>
      <c r="C68" s="16">
        <f>'[1] Södra special'!C814+'[1] Södra special'!C835+'[1] Södra special'!C856</f>
        <v>2213</v>
      </c>
      <c r="D68" s="16">
        <f>'[1] Södra special'!D814+'[1] Södra special'!D835+'[1] Södra special'!D856</f>
        <v>252</v>
      </c>
      <c r="E68" s="16">
        <f>'[1] Södra special'!E814+'[1] Södra special'!E835+'[1] Södra special'!E856</f>
        <v>7</v>
      </c>
      <c r="F68" s="16">
        <f>'[1] Södra special'!F814+'[1] Södra special'!F835+'[1] Södra special'!F856</f>
        <v>61</v>
      </c>
      <c r="G68" s="16">
        <f>'[1] Södra special'!G814+'[1] Södra special'!G835+'[1] Södra special'!G856</f>
        <v>2</v>
      </c>
      <c r="H68" s="16">
        <f>'[1] Södra special'!H814+'[1] Södra special'!H835+'[1] Södra special'!H856</f>
        <v>3</v>
      </c>
      <c r="I68" s="16">
        <f>'[1] Södra special'!I814+'[1] Södra special'!I835+'[1] Södra special'!I856</f>
        <v>3</v>
      </c>
      <c r="J68" s="16">
        <f>'[1] Södra special'!J814+'[1] Södra special'!J835+'[1] Södra special'!J856</f>
        <v>4</v>
      </c>
      <c r="K68" s="16">
        <f>'[1] Södra special'!K814+'[1] Södra special'!K835+'[1] Södra special'!K856</f>
        <v>0</v>
      </c>
      <c r="L68" s="16">
        <f>'[1] Södra special'!L814+'[1] Södra special'!L835+'[1] Södra special'!L856</f>
        <v>71</v>
      </c>
      <c r="M68" s="16">
        <f>'[1] Södra special'!M814+'[1] Södra special'!M835+'[1] Södra special'!M856</f>
        <v>0</v>
      </c>
      <c r="N68" s="16">
        <f t="shared" si="20"/>
        <v>2616</v>
      </c>
      <c r="O68" s="16">
        <f>'[1] Södra special'!O835+'[1] Södra special'!O814+'[1] Södra special'!O856</f>
        <v>3447</v>
      </c>
      <c r="P68" s="285">
        <f t="shared" si="17"/>
        <v>-0.60336197235711619</v>
      </c>
      <c r="Q68" s="287">
        <f t="shared" si="17"/>
        <v>-0.40219378427787933</v>
      </c>
      <c r="S68" s="143">
        <f t="shared" si="18"/>
        <v>-8076</v>
      </c>
      <c r="T68" s="143">
        <f t="shared" si="19"/>
        <v>-1760</v>
      </c>
      <c r="V68" s="165">
        <v>13385</v>
      </c>
      <c r="W68" s="12">
        <v>4376</v>
      </c>
    </row>
    <row r="69" spans="1:23" ht="12.75" customHeight="1" x14ac:dyDescent="0.25">
      <c r="A69" t="s">
        <v>19</v>
      </c>
      <c r="B69" s="16">
        <f>'[1] Södra special'!B836+'[1] Södra special'!B857+'[1] Södra special'!B815</f>
        <v>10473</v>
      </c>
      <c r="C69" s="16">
        <f>'[1] Södra special'!C815+'[1] Södra special'!C836+'[1] Södra special'!C857</f>
        <v>3094</v>
      </c>
      <c r="D69" s="16">
        <f>'[1] Södra special'!D815+'[1] Södra special'!D836+'[1] Södra special'!D857</f>
        <v>330</v>
      </c>
      <c r="E69" s="16">
        <f>'[1] Södra special'!E815+'[1] Södra special'!E836+'[1] Södra special'!E857</f>
        <v>27</v>
      </c>
      <c r="F69" s="16">
        <f>'[1] Södra special'!F815+'[1] Södra special'!F836+'[1] Södra special'!F857</f>
        <v>53</v>
      </c>
      <c r="G69" s="16">
        <f>'[1] Södra special'!G815+'[1] Södra special'!G836+'[1] Södra special'!G857</f>
        <v>45</v>
      </c>
      <c r="H69" s="16">
        <f>'[1] Södra special'!H815+'[1] Södra special'!H836+'[1] Södra special'!H857</f>
        <v>72</v>
      </c>
      <c r="I69" s="16">
        <f>'[1] Södra special'!I815+'[1] Södra special'!I836+'[1] Södra special'!I857</f>
        <v>951</v>
      </c>
      <c r="J69" s="16">
        <f>'[1] Södra special'!J815+'[1] Södra special'!J836+'[1] Södra special'!J857</f>
        <v>201</v>
      </c>
      <c r="K69" s="16">
        <f>'[1] Södra special'!K815+'[1] Södra special'!K836+'[1] Södra special'!K857</f>
        <v>0</v>
      </c>
      <c r="L69" s="16">
        <f>'[1] Södra special'!L815+'[1] Södra special'!L836+'[1] Södra special'!L857</f>
        <v>109</v>
      </c>
      <c r="M69" s="16">
        <f>'[1] Södra special'!M815+'[1] Södra special'!M836+'[1] Södra special'!M857</f>
        <v>21</v>
      </c>
      <c r="N69" s="16">
        <f t="shared" si="20"/>
        <v>4882</v>
      </c>
      <c r="O69" s="16">
        <f>'[1] Södra special'!O836+'[1] Södra special'!O815+'[1] Södra special'!O857</f>
        <v>4084</v>
      </c>
      <c r="P69" s="285">
        <f t="shared" si="17"/>
        <v>0.40445219257073889</v>
      </c>
      <c r="Q69" s="287">
        <f t="shared" si="17"/>
        <v>0.88567014291232138</v>
      </c>
      <c r="S69" s="143">
        <f t="shared" si="18"/>
        <v>3016</v>
      </c>
      <c r="T69" s="143">
        <f t="shared" si="19"/>
        <v>2293</v>
      </c>
      <c r="V69" s="165">
        <v>7457</v>
      </c>
      <c r="W69" s="12">
        <v>2589</v>
      </c>
    </row>
    <row r="70" spans="1:23" ht="12.75" customHeight="1" x14ac:dyDescent="0.25">
      <c r="A70" t="s">
        <v>20</v>
      </c>
      <c r="B70" s="16">
        <f>'[1] Södra special'!B837+'[1] Södra special'!B858+'[1] Södra special'!B816</f>
        <v>54677</v>
      </c>
      <c r="C70" s="16">
        <f>'[1] Södra special'!C816+'[1] Södra special'!C837+'[1] Södra special'!C858</f>
        <v>16911</v>
      </c>
      <c r="D70" s="16">
        <f>'[1] Södra special'!D816+'[1] Södra special'!D837+'[1] Södra special'!D858</f>
        <v>1568</v>
      </c>
      <c r="E70" s="16">
        <f>'[1] Södra special'!E816+'[1] Södra special'!E837+'[1] Södra special'!E858</f>
        <v>148</v>
      </c>
      <c r="F70" s="16">
        <f>'[1] Södra special'!F816+'[1] Södra special'!F837+'[1] Södra special'!F858</f>
        <v>308</v>
      </c>
      <c r="G70" s="16">
        <f>'[1] Södra special'!G816+'[1] Södra special'!G837+'[1] Södra special'!G858</f>
        <v>132</v>
      </c>
      <c r="H70" s="16">
        <f>'[1] Södra special'!H816+'[1] Södra special'!H837+'[1] Södra special'!H858</f>
        <v>250</v>
      </c>
      <c r="I70" s="16">
        <f>'[1] Södra special'!I816+'[1] Södra special'!I837+'[1] Södra special'!I858</f>
        <v>2894</v>
      </c>
      <c r="J70" s="16">
        <f>'[1] Södra special'!J816+'[1] Södra special'!J837+'[1] Södra special'!J858</f>
        <v>696</v>
      </c>
      <c r="K70" s="16">
        <f>'[1] Södra special'!K816+'[1] Södra special'!K837+'[1] Södra special'!K858</f>
        <v>0</v>
      </c>
      <c r="L70" s="16">
        <f>'[1] Södra special'!L816+'[1] Södra special'!L837+'[1] Södra special'!L858</f>
        <v>506</v>
      </c>
      <c r="M70" s="16">
        <f>'[1] Södra special'!M816+'[1] Södra special'!M837+'[1] Södra special'!M858</f>
        <v>49</v>
      </c>
      <c r="N70" s="16">
        <f t="shared" si="20"/>
        <v>23413</v>
      </c>
      <c r="O70" s="16">
        <f>'[1] Södra special'!O837+'[1] Södra special'!O816+'[1] Södra special'!O858</f>
        <v>22827.5</v>
      </c>
      <c r="P70" s="285">
        <f t="shared" si="17"/>
        <v>8.0659923727408387</v>
      </c>
      <c r="Q70" s="287">
        <f t="shared" si="17"/>
        <v>9.6713764813126701</v>
      </c>
      <c r="S70" s="143">
        <f t="shared" si="18"/>
        <v>48646</v>
      </c>
      <c r="T70" s="143">
        <f t="shared" si="19"/>
        <v>21219</v>
      </c>
      <c r="V70" s="165">
        <v>6031</v>
      </c>
      <c r="W70" s="12">
        <v>2194</v>
      </c>
    </row>
    <row r="71" spans="1:23" ht="12.75" customHeight="1" x14ac:dyDescent="0.25">
      <c r="A71" t="s">
        <v>21</v>
      </c>
      <c r="B71" s="16">
        <f>'[1] Södra special'!B838+'[1] Södra special'!B859+'[1] Södra special'!B817</f>
        <v>102656</v>
      </c>
      <c r="C71" s="16">
        <f>'[1] Södra special'!C817+'[1] Södra special'!C838+'[1] Södra special'!C859</f>
        <v>29472</v>
      </c>
      <c r="D71" s="16">
        <f>'[1] Södra special'!D817+'[1] Södra special'!D838+'[1] Södra special'!D859</f>
        <v>2670</v>
      </c>
      <c r="E71" s="16">
        <f>'[1] Södra special'!E817+'[1] Södra special'!E838+'[1] Södra special'!E859</f>
        <v>245</v>
      </c>
      <c r="F71" s="16">
        <f>'[1] Södra special'!F817+'[1] Södra special'!F838+'[1] Södra special'!F859</f>
        <v>567</v>
      </c>
      <c r="G71" s="16">
        <f>'[1] Södra special'!G817+'[1] Södra special'!G838+'[1] Södra special'!G859</f>
        <v>165</v>
      </c>
      <c r="H71" s="16">
        <f>'[1] Södra special'!H817+'[1] Södra special'!H838+'[1] Södra special'!H859</f>
        <v>370</v>
      </c>
      <c r="I71" s="16">
        <f>'[1] Södra special'!I817+'[1] Södra special'!I838+'[1] Södra special'!I859</f>
        <v>4080</v>
      </c>
      <c r="J71" s="16">
        <f>'[1] Södra special'!J817+'[1] Södra special'!J838+'[1] Södra special'!J859</f>
        <v>1053</v>
      </c>
      <c r="K71" s="16">
        <f>'[1] Södra special'!K817+'[1] Södra special'!K838+'[1] Södra special'!K859</f>
        <v>0</v>
      </c>
      <c r="L71" s="16">
        <f>'[1] Södra special'!L817+'[1] Södra special'!L838+'[1] Södra special'!L859</f>
        <v>1315</v>
      </c>
      <c r="M71" s="16">
        <f>'[1] Södra special'!M817+'[1] Södra special'!M838+'[1] Södra special'!M859</f>
        <v>79</v>
      </c>
      <c r="N71" s="16">
        <f t="shared" si="20"/>
        <v>39937</v>
      </c>
      <c r="O71" s="16">
        <f>'[1] Södra special'!O838+'[1] Södra special'!O817+'[1] Södra special'!O859</f>
        <v>35523</v>
      </c>
      <c r="P71" s="285">
        <f t="shared" si="17"/>
        <v>22.940298507462686</v>
      </c>
      <c r="Q71" s="287">
        <f t="shared" si="17"/>
        <v>23.576615384615383</v>
      </c>
      <c r="S71" s="143">
        <f t="shared" si="18"/>
        <v>98368</v>
      </c>
      <c r="T71" s="143">
        <f t="shared" si="19"/>
        <v>38312</v>
      </c>
      <c r="V71" s="165">
        <v>4288</v>
      </c>
      <c r="W71" s="12">
        <v>1625</v>
      </c>
    </row>
    <row r="72" spans="1:23" ht="12.75" customHeight="1" x14ac:dyDescent="0.25">
      <c r="A72" s="4" t="s">
        <v>22</v>
      </c>
      <c r="B72" s="16">
        <f>'[1] Södra special'!B839+'[1] Södra special'!B860+'[1] Södra special'!B818</f>
        <v>37136</v>
      </c>
      <c r="C72" s="16">
        <f>'[1] Södra special'!C818+'[1] Södra special'!C839+'[1] Södra special'!C860</f>
        <v>15148</v>
      </c>
      <c r="D72" s="16">
        <f>'[1] Södra special'!D818+'[1] Södra special'!D839+'[1] Södra special'!D860</f>
        <v>1211</v>
      </c>
      <c r="E72" s="16">
        <f>'[1] Södra special'!E818+'[1] Södra special'!E839+'[1] Södra special'!E860</f>
        <v>113</v>
      </c>
      <c r="F72" s="16">
        <f>'[1] Södra special'!F818+'[1] Södra special'!F839+'[1] Södra special'!F860</f>
        <v>219</v>
      </c>
      <c r="G72" s="16">
        <f>'[1] Södra special'!G818+'[1] Södra special'!G839+'[1] Södra special'!G860</f>
        <v>78</v>
      </c>
      <c r="H72" s="16">
        <f>'[1] Södra special'!H818+'[1] Södra special'!H839+'[1] Södra special'!H860</f>
        <v>253</v>
      </c>
      <c r="I72" s="16">
        <f>'[1] Södra special'!I818+'[1] Södra special'!I839+'[1] Södra special'!I860</f>
        <v>1076</v>
      </c>
      <c r="J72" s="16">
        <f>'[1] Södra special'!J818+'[1] Södra special'!J839+'[1] Södra special'!J860</f>
        <v>455</v>
      </c>
      <c r="K72" s="16">
        <f>'[1] Södra special'!K818+'[1] Södra special'!K839+'[1] Södra special'!K860</f>
        <v>0</v>
      </c>
      <c r="L72" s="16">
        <f>'[1] Södra special'!L818+'[1] Södra special'!L839+'[1] Södra special'!L860</f>
        <v>474</v>
      </c>
      <c r="M72" s="16">
        <f>'[1] Södra special'!M818+'[1] Södra special'!M839+'[1] Södra special'!M860</f>
        <v>24</v>
      </c>
      <c r="N72" s="16">
        <f t="shared" si="20"/>
        <v>19027</v>
      </c>
      <c r="O72" s="16">
        <f>'[1] Södra special'!O839+'[1] Södra special'!O818+'[1] Södra special'!O860</f>
        <v>16566</v>
      </c>
      <c r="P72" s="288">
        <f t="shared" si="17"/>
        <v>7.2104797700641168</v>
      </c>
      <c r="Q72" s="289">
        <f t="shared" si="17"/>
        <v>10.723351817621689</v>
      </c>
      <c r="S72" s="169">
        <f t="shared" si="18"/>
        <v>32613</v>
      </c>
      <c r="T72" s="169">
        <f t="shared" si="19"/>
        <v>17404</v>
      </c>
      <c r="V72" s="166">
        <v>4523</v>
      </c>
      <c r="W72" s="20">
        <v>1623</v>
      </c>
    </row>
    <row r="73" spans="1:23" ht="12.75" customHeight="1" x14ac:dyDescent="0.3">
      <c r="A73" s="119" t="s">
        <v>180</v>
      </c>
      <c r="B73" s="41">
        <f>SUM(B61:B72)</f>
        <v>289414</v>
      </c>
      <c r="C73" s="41">
        <f t="shared" ref="C73:J73" si="21">SUM(C61:C72)</f>
        <v>89209</v>
      </c>
      <c r="D73" s="41">
        <f t="shared" si="21"/>
        <v>7743</v>
      </c>
      <c r="E73" s="41">
        <f t="shared" si="21"/>
        <v>808</v>
      </c>
      <c r="F73" s="41">
        <f t="shared" si="21"/>
        <v>1553</v>
      </c>
      <c r="G73" s="41">
        <f t="shared" si="21"/>
        <v>636</v>
      </c>
      <c r="H73" s="41">
        <f t="shared" si="21"/>
        <v>1405</v>
      </c>
      <c r="I73" s="41">
        <f t="shared" si="21"/>
        <v>13517</v>
      </c>
      <c r="J73" s="41">
        <f t="shared" si="21"/>
        <v>3652</v>
      </c>
      <c r="K73" s="41">
        <f>SUM(K61:K72)</f>
        <v>0</v>
      </c>
      <c r="L73" s="41">
        <f>SUM(L61:L72)</f>
        <v>3340</v>
      </c>
      <c r="M73" s="90">
        <f>SUM(M61:M72)</f>
        <v>262</v>
      </c>
      <c r="N73" s="41">
        <f>SUM(N61:N72)</f>
        <v>121863</v>
      </c>
      <c r="O73" s="41">
        <f>SUM(O61:O72)</f>
        <v>107169</v>
      </c>
      <c r="P73" s="285">
        <f t="shared" si="17"/>
        <v>2.0216537899352685</v>
      </c>
      <c r="Q73" s="286">
        <f t="shared" si="17"/>
        <v>2.6260116638895501</v>
      </c>
      <c r="S73" s="143">
        <f>SUM(S61:S72)</f>
        <v>193634</v>
      </c>
      <c r="T73" s="143">
        <f>SUM(T61:T72)</f>
        <v>88255</v>
      </c>
      <c r="V73" s="12">
        <f>SUM(V61:V72)</f>
        <v>95780</v>
      </c>
      <c r="W73" s="12">
        <f>SUM(W61:W72)</f>
        <v>33608</v>
      </c>
    </row>
    <row r="74" spans="1:23" ht="12.75" customHeight="1" x14ac:dyDescent="0.3">
      <c r="A74" s="37" t="s">
        <v>107</v>
      </c>
      <c r="B74" s="9">
        <v>95780</v>
      </c>
      <c r="C74" s="9">
        <v>26308</v>
      </c>
      <c r="D74" s="9">
        <v>1880</v>
      </c>
      <c r="E74" s="9">
        <v>71</v>
      </c>
      <c r="F74" s="9">
        <v>374</v>
      </c>
      <c r="G74" s="9">
        <v>73</v>
      </c>
      <c r="H74" s="9">
        <v>451</v>
      </c>
      <c r="I74" s="9">
        <v>3608</v>
      </c>
      <c r="J74" s="9">
        <v>408</v>
      </c>
      <c r="K74" s="9">
        <v>408</v>
      </c>
      <c r="L74" s="9">
        <v>435</v>
      </c>
      <c r="M74" s="30">
        <v>54</v>
      </c>
      <c r="N74" s="9">
        <v>33608</v>
      </c>
      <c r="O74" s="9">
        <v>30068</v>
      </c>
      <c r="P74" s="21">
        <v>2.0468591641660538E-3</v>
      </c>
      <c r="Q74" s="156">
        <v>0.26882193516595687</v>
      </c>
    </row>
    <row r="75" spans="1:23" ht="12.75" customHeight="1" x14ac:dyDescent="0.3">
      <c r="A75" s="5" t="s">
        <v>23</v>
      </c>
      <c r="B75" s="9">
        <f>B73-B74</f>
        <v>193634</v>
      </c>
      <c r="C75" s="9">
        <f t="shared" ref="C75:K75" si="22">C73-C74</f>
        <v>62901</v>
      </c>
      <c r="D75" s="9">
        <f t="shared" si="22"/>
        <v>5863</v>
      </c>
      <c r="E75" s="9">
        <f t="shared" si="22"/>
        <v>737</v>
      </c>
      <c r="F75" s="9">
        <f t="shared" si="22"/>
        <v>1179</v>
      </c>
      <c r="G75" s="9">
        <f t="shared" si="22"/>
        <v>563</v>
      </c>
      <c r="H75" s="9">
        <f t="shared" si="22"/>
        <v>954</v>
      </c>
      <c r="I75" s="9">
        <f t="shared" si="22"/>
        <v>9909</v>
      </c>
      <c r="J75" s="9">
        <f t="shared" si="22"/>
        <v>3244</v>
      </c>
      <c r="K75" s="9">
        <f t="shared" si="22"/>
        <v>-408</v>
      </c>
      <c r="L75" s="9">
        <f>L73-L74</f>
        <v>2905</v>
      </c>
      <c r="M75" s="30">
        <f>M73-M74</f>
        <v>208</v>
      </c>
      <c r="N75" s="9">
        <f>N73-N74</f>
        <v>88255</v>
      </c>
      <c r="O75" s="9">
        <f>O73-O74</f>
        <v>77101</v>
      </c>
      <c r="P75" s="19"/>
      <c r="Q75" s="121"/>
    </row>
    <row r="76" spans="1:23" ht="12.75" customHeight="1" thickBot="1" x14ac:dyDescent="0.3"/>
    <row r="77" spans="1:23" ht="12.75" customHeight="1" x14ac:dyDescent="0.25">
      <c r="C77" s="368"/>
      <c r="D77" s="369"/>
      <c r="E77" s="369"/>
      <c r="F77" s="369"/>
      <c r="G77" s="369"/>
      <c r="H77" s="369"/>
      <c r="I77" s="369"/>
      <c r="J77" s="370"/>
    </row>
    <row r="78" spans="1:23" ht="18" x14ac:dyDescent="0.25">
      <c r="C78" s="371"/>
      <c r="D78" s="406"/>
      <c r="F78" s="335" t="s">
        <v>178</v>
      </c>
      <c r="J78" s="372"/>
    </row>
    <row r="79" spans="1:23" ht="12.75" customHeight="1" thickBot="1" x14ac:dyDescent="0.3">
      <c r="C79" s="373"/>
      <c r="D79" s="374"/>
      <c r="E79" s="374"/>
      <c r="F79" s="374"/>
      <c r="G79" s="374"/>
      <c r="H79" s="374"/>
      <c r="I79" s="374"/>
      <c r="J79" s="375"/>
    </row>
    <row r="81" spans="1:23" ht="12.75" customHeight="1" x14ac:dyDescent="0.3">
      <c r="A81" s="1" t="s">
        <v>0</v>
      </c>
      <c r="B81" s="2" t="s">
        <v>1</v>
      </c>
      <c r="C81" s="2" t="s">
        <v>2</v>
      </c>
      <c r="D81" s="2" t="s">
        <v>3</v>
      </c>
      <c r="E81" s="2" t="s">
        <v>4</v>
      </c>
      <c r="F81" s="2" t="s">
        <v>5</v>
      </c>
      <c r="G81" s="2" t="s">
        <v>45</v>
      </c>
      <c r="H81" s="2" t="s">
        <v>46</v>
      </c>
      <c r="I81" s="2" t="s">
        <v>48</v>
      </c>
      <c r="J81" s="405" t="s">
        <v>47</v>
      </c>
      <c r="K81" s="2" t="s">
        <v>179</v>
      </c>
      <c r="L81" s="2" t="s">
        <v>6</v>
      </c>
      <c r="M81" s="32" t="s">
        <v>7</v>
      </c>
      <c r="N81" s="1" t="s">
        <v>8</v>
      </c>
      <c r="O81" s="2" t="s">
        <v>10</v>
      </c>
      <c r="P81" s="2" t="s">
        <v>1</v>
      </c>
      <c r="Q81" s="2" t="s">
        <v>9</v>
      </c>
      <c r="S81" s="163" t="s">
        <v>129</v>
      </c>
      <c r="T81" s="163" t="s">
        <v>130</v>
      </c>
      <c r="U81" s="164"/>
      <c r="V81" s="163" t="s">
        <v>129</v>
      </c>
      <c r="W81" s="163" t="s">
        <v>130</v>
      </c>
    </row>
    <row r="82" spans="1:23" ht="12.75" customHeight="1" x14ac:dyDescent="0.25">
      <c r="A82" t="s">
        <v>11</v>
      </c>
      <c r="B82" s="16">
        <f>'[1] Södra special'!B891+'[1] Södra special'!B870</f>
        <v>10029</v>
      </c>
      <c r="C82" s="16">
        <f>'[1] Södra special'!C891+'[1] Södra special'!C870</f>
        <v>2314</v>
      </c>
      <c r="D82" s="16">
        <f>'[1] Södra special'!D891+'[1] Södra special'!D870</f>
        <v>111</v>
      </c>
      <c r="E82" s="16">
        <f>'[1] Södra special'!E891+'[1] Södra special'!E870</f>
        <v>21</v>
      </c>
      <c r="F82" s="16">
        <f>'[1] Södra special'!F891+'[1] Södra special'!F870</f>
        <v>23</v>
      </c>
      <c r="G82" s="16">
        <f>'[1] Södra special'!G891+'[1] Södra special'!G870</f>
        <v>34</v>
      </c>
      <c r="H82" s="16">
        <f>'[1] Södra special'!H891+'[1] Södra special'!H870</f>
        <v>111</v>
      </c>
      <c r="I82" s="16">
        <f>'[1] Södra special'!I891+'[1] Södra special'!I870</f>
        <v>1171</v>
      </c>
      <c r="J82" s="16">
        <f>'[1] Södra special'!J891+'[1] Södra special'!J870</f>
        <v>200</v>
      </c>
      <c r="K82" s="16">
        <f>'[1] Södra special'!K891+'[1] Södra special'!K870</f>
        <v>0</v>
      </c>
      <c r="L82" s="16">
        <f>'[1] Södra special'!L891+'[1] Södra special'!L870</f>
        <v>100</v>
      </c>
      <c r="M82" s="16">
        <f>'[1] Södra special'!M870+'[1] Södra special'!M891</f>
        <v>7</v>
      </c>
      <c r="N82" s="16">
        <f t="shared" ref="N82:N83" si="23">C82+D82+E82+F82+G82+H82+J82+I82+K82+L82</f>
        <v>4085</v>
      </c>
      <c r="O82" s="16">
        <f>'[1] Södra special'!O891+'[1] Södra special'!O870</f>
        <v>2310</v>
      </c>
      <c r="P82" s="285">
        <f t="shared" ref="P82:Q94" si="24">S82/V82</f>
        <v>1.5735180908391071</v>
      </c>
      <c r="Q82" s="286">
        <f t="shared" si="24"/>
        <v>1.8094910591471802</v>
      </c>
      <c r="S82" s="143">
        <f t="shared" ref="S82:S93" si="25">B82-V82</f>
        <v>6132</v>
      </c>
      <c r="T82" s="143">
        <f>N82-W82</f>
        <v>2631</v>
      </c>
      <c r="V82" s="165">
        <v>3897</v>
      </c>
      <c r="W82" s="12">
        <v>1454</v>
      </c>
    </row>
    <row r="83" spans="1:23" ht="12.75" customHeight="1" x14ac:dyDescent="0.25">
      <c r="A83" t="s">
        <v>12</v>
      </c>
      <c r="B83" s="16">
        <f>'[1] Södra special'!B892+'[1] Södra special'!B871</f>
        <v>6416</v>
      </c>
      <c r="C83" s="16">
        <f>'[1] Södra special'!C892+'[1] Södra special'!C871</f>
        <v>1681</v>
      </c>
      <c r="D83" s="16">
        <f>'[1] Södra special'!D892+'[1] Södra special'!D871</f>
        <v>102</v>
      </c>
      <c r="E83" s="16">
        <f>'[1] Södra special'!E892+'[1] Södra special'!E871</f>
        <v>31</v>
      </c>
      <c r="F83" s="16">
        <f>'[1] Södra special'!F892+'[1] Södra special'!F871</f>
        <v>25</v>
      </c>
      <c r="G83" s="16">
        <f>'[1] Södra special'!G892+'[1] Södra special'!G871</f>
        <v>24</v>
      </c>
      <c r="H83" s="16">
        <f>'[1] Södra special'!H892+'[1] Södra special'!H871</f>
        <v>34</v>
      </c>
      <c r="I83" s="16">
        <f>'[1] Södra special'!I892+'[1] Södra special'!I871</f>
        <v>396</v>
      </c>
      <c r="J83" s="16">
        <f>'[1] Södra special'!J892+'[1] Södra special'!J871</f>
        <v>70</v>
      </c>
      <c r="K83" s="16">
        <f>'[1] Södra special'!K892+'[1] Södra special'!K871</f>
        <v>0</v>
      </c>
      <c r="L83" s="16">
        <f>'[1] Södra special'!L892+'[1] Södra special'!L871</f>
        <v>84</v>
      </c>
      <c r="M83" s="16">
        <f>'[1] Södra special'!M871+'[1] Södra special'!M892</f>
        <v>7</v>
      </c>
      <c r="N83" s="16">
        <f t="shared" si="23"/>
        <v>2447</v>
      </c>
      <c r="O83" s="16">
        <f>'[1] Södra special'!O892+'[1] Södra special'!O871</f>
        <v>1264</v>
      </c>
      <c r="P83" s="285">
        <f t="shared" si="24"/>
        <v>2.4001059883412825</v>
      </c>
      <c r="Q83" s="287">
        <f t="shared" si="24"/>
        <v>0.80457227138643073</v>
      </c>
      <c r="S83" s="143">
        <f t="shared" si="25"/>
        <v>4529</v>
      </c>
      <c r="T83" s="143">
        <f t="shared" ref="T83:T93" si="26">N83-W83</f>
        <v>1091</v>
      </c>
      <c r="V83" s="165">
        <v>1887</v>
      </c>
      <c r="W83" s="12">
        <v>1356</v>
      </c>
    </row>
    <row r="84" spans="1:23" ht="12.75" customHeight="1" x14ac:dyDescent="0.25">
      <c r="A84" t="s">
        <v>13</v>
      </c>
      <c r="B84" s="16">
        <f>'[1] Södra special'!B893+'[1] Södra special'!B872</f>
        <v>3535</v>
      </c>
      <c r="C84" s="16">
        <f>'[1] Södra special'!C893+'[1] Södra special'!C872</f>
        <v>1529</v>
      </c>
      <c r="D84" s="16">
        <f>'[1] Södra special'!D893+'[1] Södra special'!D872</f>
        <v>125</v>
      </c>
      <c r="E84" s="16">
        <f>'[1] Södra special'!E893+'[1] Södra special'!E872</f>
        <v>7</v>
      </c>
      <c r="F84" s="16">
        <f>'[1] Södra special'!F893+'[1] Södra special'!F872</f>
        <v>21</v>
      </c>
      <c r="G84" s="16">
        <f>'[1] Södra special'!G893+'[1] Södra special'!G872</f>
        <v>1</v>
      </c>
      <c r="H84" s="16">
        <f>'[1] Södra special'!H893+'[1] Södra special'!H872</f>
        <v>13</v>
      </c>
      <c r="I84" s="16">
        <f>'[1] Södra special'!I893+'[1] Södra special'!I872</f>
        <v>12</v>
      </c>
      <c r="J84" s="16">
        <f>'[1] Södra special'!J893+'[1] Södra special'!J872</f>
        <v>14</v>
      </c>
      <c r="K84" s="16">
        <f>'[1] Södra special'!K893+'[1] Södra special'!K872</f>
        <v>0</v>
      </c>
      <c r="L84" s="16">
        <f>'[1] Södra special'!L893+'[1] Södra special'!L872</f>
        <v>93</v>
      </c>
      <c r="M84" s="16">
        <f>'[1] Södra special'!M872+'[1] Södra special'!M893</f>
        <v>0</v>
      </c>
      <c r="N84" s="16">
        <f>C84+D84+E84+F84+G84+H84+J84+I84+K84+L84</f>
        <v>1815</v>
      </c>
      <c r="O84" s="16">
        <f>'[1] Södra special'!O893+'[1] Södra special'!O872</f>
        <v>1960</v>
      </c>
      <c r="P84" s="285">
        <f t="shared" si="24"/>
        <v>0.57111111111111112</v>
      </c>
      <c r="Q84" s="287">
        <f t="shared" si="24"/>
        <v>-7.2085889570552147E-2</v>
      </c>
      <c r="S84" s="143">
        <f t="shared" si="25"/>
        <v>1285</v>
      </c>
      <c r="T84" s="143">
        <f t="shared" si="26"/>
        <v>-141</v>
      </c>
      <c r="V84" s="165">
        <v>2250</v>
      </c>
      <c r="W84" s="12">
        <v>1956</v>
      </c>
    </row>
    <row r="85" spans="1:23" ht="12.75" customHeight="1" x14ac:dyDescent="0.25">
      <c r="A85" t="s">
        <v>14</v>
      </c>
      <c r="B85" s="16">
        <f>'[1] Södra special'!B894+'[1] Södra special'!B873</f>
        <v>3117</v>
      </c>
      <c r="C85" s="16">
        <f>'[1] Södra special'!C894+'[1] Södra special'!C873</f>
        <v>1389</v>
      </c>
      <c r="D85" s="16">
        <f>'[1] Södra special'!D894+'[1] Södra special'!D873</f>
        <v>117</v>
      </c>
      <c r="E85" s="16">
        <f>'[1] Södra special'!E894+'[1] Södra special'!E873</f>
        <v>2</v>
      </c>
      <c r="F85" s="16">
        <f>'[1] Södra special'!F894+'[1] Södra special'!F873</f>
        <v>21</v>
      </c>
      <c r="G85" s="16">
        <f>'[1] Södra special'!G894+'[1] Södra special'!G873</f>
        <v>0</v>
      </c>
      <c r="H85" s="16">
        <f>'[1] Södra special'!H894+'[1] Södra special'!H873</f>
        <v>1</v>
      </c>
      <c r="I85" s="16">
        <f>'[1] Södra special'!I894+'[1] Södra special'!I873</f>
        <v>0</v>
      </c>
      <c r="J85" s="16">
        <f>'[1] Södra special'!J894+'[1] Södra special'!J873</f>
        <v>4</v>
      </c>
      <c r="K85" s="16">
        <f>'[1] Södra special'!K894+'[1] Södra special'!K873</f>
        <v>0</v>
      </c>
      <c r="L85" s="16">
        <f>'[1] Södra special'!L894+'[1] Södra special'!L873</f>
        <v>73</v>
      </c>
      <c r="M85" s="16">
        <f>'[1] Södra special'!M873+'[1] Södra special'!M894</f>
        <v>5</v>
      </c>
      <c r="N85" s="16">
        <f t="shared" ref="N85:N93" si="27">C85+D85+E85+F85+G85+H85+J85+I85+K85+L85</f>
        <v>1607</v>
      </c>
      <c r="O85" s="16">
        <f>'[1] Södra special'!O894+'[1] Södra special'!O873</f>
        <v>1610</v>
      </c>
      <c r="P85" s="285">
        <f t="shared" si="24"/>
        <v>-7.4250074250074252E-2</v>
      </c>
      <c r="Q85" s="287">
        <f>T85/W85</f>
        <v>-0.30583153347732184</v>
      </c>
      <c r="S85" s="143">
        <f t="shared" si="25"/>
        <v>-250</v>
      </c>
      <c r="T85" s="143">
        <f t="shared" si="26"/>
        <v>-708</v>
      </c>
      <c r="V85" s="165">
        <v>3367</v>
      </c>
      <c r="W85" s="12">
        <v>2315</v>
      </c>
    </row>
    <row r="86" spans="1:23" ht="12.75" customHeight="1" x14ac:dyDescent="0.25">
      <c r="A86" t="s">
        <v>15</v>
      </c>
      <c r="B86" s="16">
        <f>'[1] Södra special'!B895+'[1] Södra special'!B874</f>
        <v>2197</v>
      </c>
      <c r="C86" s="16">
        <f>'[1] Södra special'!C895+'[1] Södra special'!C874</f>
        <v>1038</v>
      </c>
      <c r="D86" s="16">
        <f>'[1] Södra special'!D895+'[1] Södra special'!D874</f>
        <v>88</v>
      </c>
      <c r="E86" s="16">
        <f>'[1] Södra special'!E895+'[1] Södra special'!E874</f>
        <v>0</v>
      </c>
      <c r="F86" s="16">
        <f>'[1] Södra special'!F895+'[1] Södra special'!F874</f>
        <v>16</v>
      </c>
      <c r="G86" s="16">
        <f>'[1] Södra special'!G895+'[1] Södra special'!G874</f>
        <v>0</v>
      </c>
      <c r="H86" s="16">
        <f>'[1] Södra special'!H895+'[1] Södra special'!H874</f>
        <v>2</v>
      </c>
      <c r="I86" s="16">
        <f>'[1] Södra special'!I895+'[1] Södra special'!I874</f>
        <v>0</v>
      </c>
      <c r="J86" s="16">
        <f>'[1] Södra special'!J895+'[1] Södra special'!J874</f>
        <v>1</v>
      </c>
      <c r="K86" s="16">
        <f>'[1] Södra special'!K895+'[1] Södra special'!K874</f>
        <v>0</v>
      </c>
      <c r="L86" s="16">
        <f>'[1] Södra special'!L895+'[1] Södra special'!L874</f>
        <v>42</v>
      </c>
      <c r="M86" s="16">
        <f>'[1] Södra special'!M874+'[1] Södra special'!M895</f>
        <v>0</v>
      </c>
      <c r="N86" s="16">
        <f t="shared" si="27"/>
        <v>1187</v>
      </c>
      <c r="O86" s="16">
        <f>'[1] Södra special'!O895+'[1] Södra special'!O874</f>
        <v>1225</v>
      </c>
      <c r="P86" s="285">
        <f t="shared" si="24"/>
        <v>-0.46778100775193798</v>
      </c>
      <c r="Q86" s="287">
        <f>T86/W86</f>
        <v>-0.56930333817126266</v>
      </c>
      <c r="S86" s="143">
        <f t="shared" si="25"/>
        <v>-1931</v>
      </c>
      <c r="T86" s="143">
        <f t="shared" si="26"/>
        <v>-1569</v>
      </c>
      <c r="V86" s="165">
        <v>4128</v>
      </c>
      <c r="W86" s="12">
        <v>2756</v>
      </c>
    </row>
    <row r="87" spans="1:23" ht="12.75" customHeight="1" x14ac:dyDescent="0.25">
      <c r="A87" t="s">
        <v>16</v>
      </c>
      <c r="B87" s="16">
        <f>'[1] Södra special'!B896+'[1] Södra special'!B875</f>
        <v>2154</v>
      </c>
      <c r="C87" s="16">
        <f>'[1] Södra special'!C896+'[1] Södra special'!C875</f>
        <v>1090</v>
      </c>
      <c r="D87" s="16">
        <f>'[1] Södra special'!D896+'[1] Södra special'!D875</f>
        <v>84</v>
      </c>
      <c r="E87" s="16">
        <f>'[1] Södra special'!E896+'[1] Södra special'!E875</f>
        <v>0</v>
      </c>
      <c r="F87" s="16">
        <f>'[1] Södra special'!F896+'[1] Södra special'!F875</f>
        <v>18</v>
      </c>
      <c r="G87" s="16">
        <f>'[1] Södra special'!G896+'[1] Södra special'!G875</f>
        <v>0</v>
      </c>
      <c r="H87" s="16">
        <f>'[1] Södra special'!H896+'[1] Södra special'!H875</f>
        <v>0</v>
      </c>
      <c r="I87" s="16">
        <f>'[1] Södra special'!I896+'[1] Södra special'!I875</f>
        <v>0</v>
      </c>
      <c r="J87" s="16">
        <f>'[1] Södra special'!J896+'[1] Södra special'!J875</f>
        <v>0</v>
      </c>
      <c r="K87" s="16">
        <f>'[1] Södra special'!K896+'[1] Södra special'!K875</f>
        <v>0</v>
      </c>
      <c r="L87" s="16">
        <f>'[1] Södra special'!L896+'[1] Södra special'!L875</f>
        <v>20</v>
      </c>
      <c r="M87" s="16">
        <f>'[1] Södra special'!M875+'[1] Södra special'!M896</f>
        <v>0</v>
      </c>
      <c r="N87" s="16">
        <f t="shared" si="27"/>
        <v>1212</v>
      </c>
      <c r="O87" s="16">
        <f>'[1] Södra special'!O896+'[1] Södra special'!O875</f>
        <v>1093</v>
      </c>
      <c r="P87" s="285">
        <f t="shared" si="24"/>
        <v>-0.70195101701951013</v>
      </c>
      <c r="Q87" s="287">
        <f t="shared" si="24"/>
        <v>-0.72131524488388132</v>
      </c>
      <c r="S87" s="143">
        <f t="shared" si="25"/>
        <v>-5073</v>
      </c>
      <c r="T87" s="143">
        <f t="shared" si="26"/>
        <v>-3137</v>
      </c>
      <c r="V87" s="165">
        <v>7227</v>
      </c>
      <c r="W87" s="12">
        <v>4349</v>
      </c>
    </row>
    <row r="88" spans="1:23" ht="12.75" customHeight="1" x14ac:dyDescent="0.25">
      <c r="A88" t="s">
        <v>17</v>
      </c>
      <c r="B88" s="16">
        <f>'[1] Södra special'!B897+'[1] Södra special'!B876</f>
        <v>45296</v>
      </c>
      <c r="C88" s="16">
        <f>'[1] Södra special'!C897+'[1] Södra special'!C876</f>
        <v>15621</v>
      </c>
      <c r="D88" s="16">
        <f>'[1] Södra special'!D897+'[1] Södra special'!D876</f>
        <v>1239</v>
      </c>
      <c r="E88" s="16">
        <f>'[1] Södra special'!E897+'[1] Södra special'!E876</f>
        <v>91</v>
      </c>
      <c r="F88" s="16">
        <f>'[1] Södra special'!F897+'[1] Södra special'!F876</f>
        <v>249</v>
      </c>
      <c r="G88" s="16">
        <f>'[1] Södra special'!G897+'[1] Södra special'!G876</f>
        <v>87</v>
      </c>
      <c r="H88" s="16">
        <f>'[1] Södra special'!H897+'[1] Södra special'!H876</f>
        <v>240</v>
      </c>
      <c r="I88" s="16">
        <f>'[1] Södra special'!I897+'[1] Södra special'!I876</f>
        <v>2063</v>
      </c>
      <c r="J88" s="16">
        <f>'[1] Södra special'!J897+'[1] Södra special'!J876</f>
        <v>438</v>
      </c>
      <c r="K88" s="16">
        <f>'[1] Södra special'!K897+'[1] Södra special'!K876</f>
        <v>0</v>
      </c>
      <c r="L88" s="16">
        <f>'[1] Södra special'!L897+'[1] Södra special'!L876</f>
        <v>782</v>
      </c>
      <c r="M88" s="16">
        <f>'[1] Södra special'!M876+'[1] Södra special'!M897</f>
        <v>23</v>
      </c>
      <c r="N88" s="16">
        <f t="shared" si="27"/>
        <v>20810</v>
      </c>
      <c r="O88" s="16">
        <f>'[1] Södra special'!O897+'[1] Södra special'!O876</f>
        <v>17278</v>
      </c>
      <c r="P88" s="285">
        <f t="shared" si="24"/>
        <v>2.3833283537496266</v>
      </c>
      <c r="Q88" s="287">
        <f t="shared" si="24"/>
        <v>1.7432111784866859</v>
      </c>
      <c r="S88" s="143">
        <f t="shared" si="25"/>
        <v>31908</v>
      </c>
      <c r="T88" s="143">
        <f t="shared" si="26"/>
        <v>13224</v>
      </c>
      <c r="V88" s="165">
        <v>13388</v>
      </c>
      <c r="W88" s="12">
        <v>7586</v>
      </c>
    </row>
    <row r="89" spans="1:23" ht="12.75" customHeight="1" x14ac:dyDescent="0.25">
      <c r="A89" t="s">
        <v>18</v>
      </c>
      <c r="B89" s="16">
        <f>'[1] Södra special'!B898+'[1] Södra special'!B877</f>
        <v>47739</v>
      </c>
      <c r="C89" s="16">
        <f>'[1] Södra special'!C898+'[1] Södra special'!C877</f>
        <v>15222</v>
      </c>
      <c r="D89" s="16">
        <f>'[1] Södra special'!D898+'[1] Södra special'!D877</f>
        <v>1274</v>
      </c>
      <c r="E89" s="16">
        <f>'[1] Södra special'!E898+'[1] Södra special'!E877</f>
        <v>129</v>
      </c>
      <c r="F89" s="16">
        <f>'[1] Södra special'!F898+'[1] Södra special'!F877</f>
        <v>255</v>
      </c>
      <c r="G89" s="16">
        <f>'[1] Södra special'!G898+'[1] Södra special'!G877</f>
        <v>91</v>
      </c>
      <c r="H89" s="16">
        <f>'[1] Södra special'!H898+'[1] Södra special'!H877</f>
        <v>199</v>
      </c>
      <c r="I89" s="16">
        <f>'[1] Södra special'!I898+'[1] Södra special'!I877</f>
        <v>1746</v>
      </c>
      <c r="J89" s="16">
        <f>'[1] Södra special'!J898+'[1] Södra special'!J877</f>
        <v>541</v>
      </c>
      <c r="K89" s="16">
        <f>'[1] Södra special'!K898+'[1] Södra special'!K877</f>
        <v>0</v>
      </c>
      <c r="L89" s="16">
        <f>'[1] Södra special'!L898+'[1] Södra special'!L877</f>
        <v>706</v>
      </c>
      <c r="M89" s="16">
        <f>'[1] Södra special'!M877+'[1] Södra special'!M898</f>
        <v>35</v>
      </c>
      <c r="N89" s="16">
        <f t="shared" si="27"/>
        <v>20163</v>
      </c>
      <c r="O89" s="16">
        <f>'[1] Södra special'!O898+'[1] Södra special'!O877</f>
        <v>16272</v>
      </c>
      <c r="P89" s="285">
        <f t="shared" si="24"/>
        <v>5.9257217466995504</v>
      </c>
      <c r="Q89" s="287">
        <f t="shared" si="24"/>
        <v>3.4638034093424839</v>
      </c>
      <c r="S89" s="143">
        <f t="shared" si="25"/>
        <v>40846</v>
      </c>
      <c r="T89" s="143">
        <f t="shared" si="26"/>
        <v>15646</v>
      </c>
      <c r="V89" s="165">
        <v>6893</v>
      </c>
      <c r="W89" s="12">
        <v>4517</v>
      </c>
    </row>
    <row r="90" spans="1:23" ht="12.75" customHeight="1" x14ac:dyDescent="0.25">
      <c r="A90" t="s">
        <v>19</v>
      </c>
      <c r="B90" s="16">
        <f>'[1] Södra special'!B899+'[1] Södra special'!B878</f>
        <v>-2443</v>
      </c>
      <c r="C90" s="16">
        <f>'[1] Södra special'!C899+'[1] Södra special'!C878</f>
        <v>399</v>
      </c>
      <c r="D90" s="16">
        <f>'[1] Södra special'!D899+'[1] Södra special'!D878</f>
        <v>-35</v>
      </c>
      <c r="E90" s="16">
        <f>'[1] Södra special'!E899+'[1] Södra special'!E878</f>
        <v>-38</v>
      </c>
      <c r="F90" s="16">
        <f>'[1] Södra special'!F899+'[1] Södra special'!F878</f>
        <v>-6</v>
      </c>
      <c r="G90" s="16">
        <f>'[1] Södra special'!G899+'[1] Södra special'!G878</f>
        <v>-4</v>
      </c>
      <c r="H90" s="16">
        <f>'[1] Södra special'!H899+'[1] Södra special'!H878</f>
        <v>41</v>
      </c>
      <c r="I90" s="16">
        <f>'[1] Södra special'!I899+'[1] Södra special'!I878</f>
        <v>317</v>
      </c>
      <c r="J90" s="16">
        <f>'[1] Södra special'!J899+'[1] Södra special'!J878</f>
        <v>-103</v>
      </c>
      <c r="K90" s="16">
        <f>'[1] Södra special'!K899+'[1] Södra special'!K878</f>
        <v>0</v>
      </c>
      <c r="L90" s="16">
        <f>'[1] Södra special'!L899+'[1] Södra special'!L878</f>
        <v>76</v>
      </c>
      <c r="M90" s="16">
        <f>'[1] Södra special'!M878+'[1] Södra special'!M899</f>
        <v>-12</v>
      </c>
      <c r="N90" s="16">
        <f t="shared" si="27"/>
        <v>647</v>
      </c>
      <c r="O90" s="16">
        <f>'[1] Södra special'!O899+'[1] Södra special'!O878</f>
        <v>1006</v>
      </c>
      <c r="P90" s="285">
        <f t="shared" si="24"/>
        <v>-1.7457264957264957</v>
      </c>
      <c r="Q90" s="287">
        <f t="shared" si="24"/>
        <v>-0.74557609123082969</v>
      </c>
      <c r="S90" s="143">
        <f t="shared" si="25"/>
        <v>-5719</v>
      </c>
      <c r="T90" s="143">
        <f t="shared" si="26"/>
        <v>-1896</v>
      </c>
      <c r="V90" s="165">
        <v>3276</v>
      </c>
      <c r="W90" s="12">
        <v>2543</v>
      </c>
    </row>
    <row r="91" spans="1:23" ht="12.75" customHeight="1" x14ac:dyDescent="0.25">
      <c r="A91" t="s">
        <v>20</v>
      </c>
      <c r="B91" s="16">
        <f>'[1] Södra special'!B900+'[1] Södra special'!B879</f>
        <v>0</v>
      </c>
      <c r="C91" s="16">
        <f>'[1] Södra special'!C900+'[1] Södra special'!C879</f>
        <v>0</v>
      </c>
      <c r="D91" s="16">
        <f>'[1] Södra special'!D900+'[1] Södra special'!D879</f>
        <v>0</v>
      </c>
      <c r="E91" s="16">
        <f>'[1] Södra special'!E900+'[1] Södra special'!E879</f>
        <v>0</v>
      </c>
      <c r="F91" s="16">
        <f>'[1] Södra special'!F900+'[1] Södra special'!F879</f>
        <v>0</v>
      </c>
      <c r="G91" s="16">
        <f>'[1] Södra special'!G900+'[1] Södra special'!G879</f>
        <v>0</v>
      </c>
      <c r="H91" s="16">
        <f>'[1] Södra special'!H900+'[1] Södra special'!H879</f>
        <v>0</v>
      </c>
      <c r="I91" s="16">
        <f>'[1] Södra special'!I900+'[1] Södra special'!I879</f>
        <v>0</v>
      </c>
      <c r="J91" s="16">
        <f>'[1] Södra special'!J900+'[1] Södra special'!J879</f>
        <v>0</v>
      </c>
      <c r="K91" s="16">
        <f>'[1] Södra special'!K900+'[1] Södra special'!K879</f>
        <v>0</v>
      </c>
      <c r="L91" s="16">
        <f>'[1] Södra special'!L900+'[1] Södra special'!L879</f>
        <v>0</v>
      </c>
      <c r="M91" s="16">
        <f>'[1] Södra special'!M879+'[1] Södra special'!M900</f>
        <v>0</v>
      </c>
      <c r="N91" s="16">
        <f t="shared" si="27"/>
        <v>0</v>
      </c>
      <c r="O91" s="16">
        <f>'[1] Södra special'!O900+'[1] Södra special'!O879</f>
        <v>0</v>
      </c>
      <c r="P91" s="285">
        <f t="shared" si="24"/>
        <v>-1</v>
      </c>
      <c r="Q91" s="287">
        <f t="shared" si="24"/>
        <v>-1</v>
      </c>
      <c r="S91" s="143">
        <f t="shared" si="25"/>
        <v>-3036</v>
      </c>
      <c r="T91" s="143">
        <f t="shared" si="26"/>
        <v>-2388</v>
      </c>
      <c r="V91" s="165">
        <v>3036</v>
      </c>
      <c r="W91" s="12">
        <v>2388</v>
      </c>
    </row>
    <row r="92" spans="1:23" ht="12.75" customHeight="1" x14ac:dyDescent="0.25">
      <c r="A92" t="s">
        <v>21</v>
      </c>
      <c r="B92" s="16">
        <f>'[1] Södra special'!B901+'[1] Södra special'!B880</f>
        <v>0</v>
      </c>
      <c r="C92" s="16">
        <f>'[1] Södra special'!C901+'[1] Södra special'!C880</f>
        <v>0</v>
      </c>
      <c r="D92" s="16">
        <f>'[1] Södra special'!D901+'[1] Södra special'!D880</f>
        <v>0</v>
      </c>
      <c r="E92" s="16">
        <f>'[1] Södra special'!E901+'[1] Södra special'!E880</f>
        <v>0</v>
      </c>
      <c r="F92" s="16">
        <f>'[1] Södra special'!F901+'[1] Södra special'!F880</f>
        <v>0</v>
      </c>
      <c r="G92" s="16">
        <f>'[1] Södra special'!G901+'[1] Södra special'!G880</f>
        <v>0</v>
      </c>
      <c r="H92" s="16">
        <f>'[1] Södra special'!H901+'[1] Södra special'!H880</f>
        <v>0</v>
      </c>
      <c r="I92" s="16">
        <f>'[1] Södra special'!I901+'[1] Södra special'!I880</f>
        <v>0</v>
      </c>
      <c r="J92" s="16">
        <f>'[1] Södra special'!J901+'[1] Södra special'!J880</f>
        <v>0</v>
      </c>
      <c r="K92" s="16">
        <f>'[1] Södra special'!K901+'[1] Södra special'!K880</f>
        <v>0</v>
      </c>
      <c r="L92" s="16">
        <f>'[1] Södra special'!L901+'[1] Södra special'!L880</f>
        <v>0</v>
      </c>
      <c r="M92" s="16">
        <f>'[1] Södra special'!M880+'[1] Södra special'!M901</f>
        <v>0</v>
      </c>
      <c r="N92" s="16">
        <f t="shared" si="27"/>
        <v>0</v>
      </c>
      <c r="O92" s="16">
        <f>'[1] Södra special'!O901+'[1] Södra special'!O880</f>
        <v>0</v>
      </c>
      <c r="P92" s="285">
        <f t="shared" si="24"/>
        <v>-1</v>
      </c>
      <c r="Q92" s="287">
        <f t="shared" si="24"/>
        <v>-1</v>
      </c>
      <c r="S92" s="143">
        <f t="shared" si="25"/>
        <v>-2301</v>
      </c>
      <c r="T92" s="143">
        <f t="shared" si="26"/>
        <v>-1819</v>
      </c>
      <c r="V92" s="165">
        <v>2301</v>
      </c>
      <c r="W92" s="12">
        <v>1819</v>
      </c>
    </row>
    <row r="93" spans="1:23" ht="12.75" customHeight="1" x14ac:dyDescent="0.25">
      <c r="A93" s="4" t="s">
        <v>22</v>
      </c>
      <c r="B93" s="16">
        <f>'[1] Södra special'!B902+'[1] Södra special'!B881</f>
        <v>0</v>
      </c>
      <c r="C93" s="16">
        <f>'[1] Södra special'!C902+'[1] Södra special'!C881</f>
        <v>0</v>
      </c>
      <c r="D93" s="16">
        <f>'[1] Södra special'!D902+'[1] Södra special'!D881</f>
        <v>0</v>
      </c>
      <c r="E93" s="16">
        <f>'[1] Södra special'!E902+'[1] Södra special'!E881</f>
        <v>0</v>
      </c>
      <c r="F93" s="16">
        <f>'[1] Södra special'!F902+'[1] Södra special'!F881</f>
        <v>0</v>
      </c>
      <c r="G93" s="16">
        <f>'[1] Södra special'!G902+'[1] Södra special'!G881</f>
        <v>0</v>
      </c>
      <c r="H93" s="16">
        <f>'[1] Södra special'!H902+'[1] Södra special'!H881</f>
        <v>0</v>
      </c>
      <c r="I93" s="16">
        <f>'[1] Södra special'!I902+'[1] Södra special'!I881</f>
        <v>0</v>
      </c>
      <c r="J93" s="16">
        <f>'[1] Södra special'!J902+'[1] Södra special'!J881</f>
        <v>0</v>
      </c>
      <c r="K93" s="16">
        <f>'[1] Södra special'!K902+'[1] Södra special'!K881</f>
        <v>0</v>
      </c>
      <c r="L93" s="16">
        <f>'[1] Södra special'!L902+'[1] Södra special'!L881</f>
        <v>0</v>
      </c>
      <c r="M93" s="16">
        <f>'[1] Södra special'!M881+'[1] Södra special'!M902</f>
        <v>0</v>
      </c>
      <c r="N93" s="16">
        <f t="shared" si="27"/>
        <v>0</v>
      </c>
      <c r="O93" s="16">
        <f>'[1] Södra special'!O902+'[1] Södra special'!O881</f>
        <v>0</v>
      </c>
      <c r="P93" s="288">
        <f t="shared" si="24"/>
        <v>-1</v>
      </c>
      <c r="Q93" s="289">
        <f t="shared" si="24"/>
        <v>-1</v>
      </c>
      <c r="S93" s="169">
        <f t="shared" si="25"/>
        <v>-2389</v>
      </c>
      <c r="T93" s="169">
        <f t="shared" si="26"/>
        <v>-1700</v>
      </c>
      <c r="V93" s="166">
        <v>2389</v>
      </c>
      <c r="W93" s="20">
        <v>1700</v>
      </c>
    </row>
    <row r="94" spans="1:23" ht="12.75" customHeight="1" x14ac:dyDescent="0.3">
      <c r="A94" s="119" t="s">
        <v>181</v>
      </c>
      <c r="B94" s="41">
        <f>SUM(B82:B93)</f>
        <v>118040</v>
      </c>
      <c r="C94" s="41">
        <f t="shared" ref="C94:O95" si="28">SUM(C82:C93)</f>
        <v>40283</v>
      </c>
      <c r="D94" s="41">
        <f t="shared" si="28"/>
        <v>3105</v>
      </c>
      <c r="E94" s="41">
        <f t="shared" si="28"/>
        <v>243</v>
      </c>
      <c r="F94" s="41">
        <f t="shared" si="28"/>
        <v>622</v>
      </c>
      <c r="G94" s="41">
        <f t="shared" si="28"/>
        <v>233</v>
      </c>
      <c r="H94" s="41">
        <f t="shared" si="28"/>
        <v>641</v>
      </c>
      <c r="I94" s="41">
        <f t="shared" si="28"/>
        <v>5705</v>
      </c>
      <c r="J94" s="41">
        <f t="shared" si="28"/>
        <v>1165</v>
      </c>
      <c r="K94" s="41">
        <f t="shared" si="28"/>
        <v>0</v>
      </c>
      <c r="L94" s="41">
        <f t="shared" si="28"/>
        <v>1976</v>
      </c>
      <c r="M94" s="90">
        <f t="shared" si="28"/>
        <v>65</v>
      </c>
      <c r="N94" s="41">
        <f t="shared" si="28"/>
        <v>53973</v>
      </c>
      <c r="O94" s="41">
        <f t="shared" si="28"/>
        <v>44018</v>
      </c>
      <c r="P94" s="285">
        <f t="shared" si="24"/>
        <v>1.184348341012972</v>
      </c>
      <c r="Q94" s="286">
        <f t="shared" si="24"/>
        <v>0.55367166585106076</v>
      </c>
      <c r="S94" s="143">
        <f>SUM(S82:S93)</f>
        <v>64001</v>
      </c>
      <c r="T94" s="143">
        <f>SUM(T82:T93)</f>
        <v>19234</v>
      </c>
      <c r="V94" s="12">
        <f>SUM(V82:V93)</f>
        <v>54039</v>
      </c>
      <c r="W94" s="12">
        <f>SUM(W82:W93)</f>
        <v>34739</v>
      </c>
    </row>
    <row r="95" spans="1:23" ht="12.75" customHeight="1" x14ac:dyDescent="0.3">
      <c r="A95" s="37" t="s">
        <v>180</v>
      </c>
      <c r="B95" s="41">
        <f>SUM(B83:B94)</f>
        <v>226051</v>
      </c>
      <c r="C95" s="41">
        <f t="shared" si="28"/>
        <v>78252</v>
      </c>
      <c r="D95" s="41">
        <f t="shared" si="28"/>
        <v>6099</v>
      </c>
      <c r="E95" s="41">
        <f t="shared" si="28"/>
        <v>465</v>
      </c>
      <c r="F95" s="41">
        <f t="shared" si="28"/>
        <v>1221</v>
      </c>
      <c r="G95" s="41">
        <f t="shared" si="28"/>
        <v>432</v>
      </c>
      <c r="H95" s="41">
        <f t="shared" si="28"/>
        <v>1171</v>
      </c>
      <c r="I95" s="41">
        <f t="shared" si="28"/>
        <v>10239</v>
      </c>
      <c r="J95" s="41">
        <f t="shared" si="28"/>
        <v>2130</v>
      </c>
      <c r="K95" s="41">
        <f t="shared" si="28"/>
        <v>0</v>
      </c>
      <c r="L95" s="41">
        <f t="shared" si="28"/>
        <v>3852</v>
      </c>
      <c r="M95" s="90">
        <f t="shared" si="28"/>
        <v>123</v>
      </c>
      <c r="N95" s="41">
        <f t="shared" si="28"/>
        <v>103861</v>
      </c>
      <c r="O95" s="41">
        <f t="shared" si="28"/>
        <v>85726</v>
      </c>
      <c r="P95" s="21">
        <v>2.0468591641660538E-3</v>
      </c>
      <c r="Q95" s="156">
        <v>0.26882193516595687</v>
      </c>
    </row>
    <row r="96" spans="1:23" ht="12.75" customHeight="1" x14ac:dyDescent="0.3">
      <c r="A96" s="5" t="s">
        <v>23</v>
      </c>
      <c r="B96" s="9">
        <f>B94-B95</f>
        <v>-108011</v>
      </c>
      <c r="C96" s="9">
        <f t="shared" ref="C96:K96" si="29">C94-C95</f>
        <v>-37969</v>
      </c>
      <c r="D96" s="9">
        <f t="shared" si="29"/>
        <v>-2994</v>
      </c>
      <c r="E96" s="9">
        <f t="shared" si="29"/>
        <v>-222</v>
      </c>
      <c r="F96" s="9">
        <f t="shared" si="29"/>
        <v>-599</v>
      </c>
      <c r="G96" s="9">
        <f t="shared" si="29"/>
        <v>-199</v>
      </c>
      <c r="H96" s="9">
        <f t="shared" si="29"/>
        <v>-530</v>
      </c>
      <c r="I96" s="9">
        <f t="shared" si="29"/>
        <v>-4534</v>
      </c>
      <c r="J96" s="9">
        <f t="shared" si="29"/>
        <v>-965</v>
      </c>
      <c r="K96" s="9">
        <f t="shared" si="29"/>
        <v>0</v>
      </c>
      <c r="L96" s="9">
        <f>L94-L95</f>
        <v>-1876</v>
      </c>
      <c r="M96" s="30">
        <f>M94-M95</f>
        <v>-58</v>
      </c>
      <c r="N96" s="9">
        <f>N94-N95</f>
        <v>-49888</v>
      </c>
      <c r="O96" s="9">
        <f>O94-O95</f>
        <v>-41708</v>
      </c>
      <c r="P96" s="19"/>
      <c r="Q96" s="121"/>
    </row>
  </sheetData>
  <phoneticPr fontId="4" type="noConversion"/>
  <printOptions headings="1" gridLines="1" gridLinesSet="0"/>
  <pageMargins left="0.39370078740157483" right="0" top="0.98425196850393704" bottom="0.98425196850393704" header="0.51181102362204722" footer="0.51181102362204722"/>
  <pageSetup paperSize="9" scale="10"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W100"/>
  <sheetViews>
    <sheetView topLeftCell="A62" zoomScaleNormal="100" workbookViewId="0">
      <selection activeCell="K58" sqref="K58"/>
    </sheetView>
  </sheetViews>
  <sheetFormatPr defaultRowHeight="12.75" customHeight="1" x14ac:dyDescent="0.25"/>
  <cols>
    <col min="1" max="1" width="9.453125" customWidth="1"/>
    <col min="2" max="2" width="7.54296875" customWidth="1"/>
    <col min="3" max="3" width="9.453125" customWidth="1"/>
    <col min="4" max="4" width="7" customWidth="1"/>
    <col min="5" max="5" width="6.08984375" customWidth="1"/>
    <col min="6" max="6" width="7.453125" customWidth="1"/>
    <col min="7" max="7" width="8.453125" customWidth="1"/>
    <col min="8" max="9" width="7.54296875" customWidth="1"/>
    <col min="10" max="10" width="6.36328125" customWidth="1"/>
    <col min="11" max="11" width="7.08984375" customWidth="1"/>
    <col min="12" max="12" width="8" customWidth="1"/>
    <col min="13" max="13" width="10.54296875" customWidth="1"/>
    <col min="14" max="14" width="10.453125" customWidth="1"/>
    <col min="15" max="15" width="8.90625" customWidth="1"/>
    <col min="16" max="16" width="8" customWidth="1"/>
    <col min="17" max="17" width="8.54296875" customWidth="1"/>
    <col min="19" max="19" width="13.36328125" bestFit="1" customWidth="1"/>
    <col min="20" max="20" width="11.54296875" bestFit="1" customWidth="1"/>
  </cols>
  <sheetData>
    <row r="1" spans="1:23" ht="12.5" x14ac:dyDescent="0.25">
      <c r="P1" s="102"/>
      <c r="Q1" s="102"/>
    </row>
    <row r="2" spans="1:23" ht="12.5" x14ac:dyDescent="0.25">
      <c r="P2" s="102"/>
      <c r="Q2" s="102"/>
    </row>
    <row r="3" spans="1:23" ht="12.5" x14ac:dyDescent="0.25">
      <c r="P3" s="102"/>
      <c r="Q3" s="102"/>
    </row>
    <row r="4" spans="1:23" ht="12.5" x14ac:dyDescent="0.25">
      <c r="P4" s="102"/>
      <c r="Q4" s="102"/>
    </row>
    <row r="5" spans="1:23" ht="12.5" x14ac:dyDescent="0.25">
      <c r="P5" s="102"/>
      <c r="Q5" s="102"/>
    </row>
    <row r="6" spans="1:23" ht="12.5" x14ac:dyDescent="0.25">
      <c r="P6" s="102"/>
      <c r="Q6" s="102"/>
    </row>
    <row r="7" spans="1:23" ht="12.5" x14ac:dyDescent="0.25">
      <c r="O7" s="102"/>
      <c r="P7" s="102"/>
      <c r="Q7" s="102"/>
    </row>
    <row r="8" spans="1:23" ht="12.5" x14ac:dyDescent="0.25">
      <c r="O8" s="102"/>
      <c r="P8" s="102"/>
      <c r="Q8" s="102"/>
    </row>
    <row r="9" spans="1:23" ht="12.5" x14ac:dyDescent="0.25">
      <c r="P9" s="102"/>
      <c r="Q9" s="102"/>
    </row>
    <row r="10" spans="1:23" ht="13" x14ac:dyDescent="0.3">
      <c r="A10" s="1" t="s">
        <v>0</v>
      </c>
      <c r="B10" s="2" t="s">
        <v>1</v>
      </c>
      <c r="C10" s="2" t="s">
        <v>2</v>
      </c>
      <c r="D10" s="2" t="s">
        <v>3</v>
      </c>
      <c r="E10" s="2" t="s">
        <v>4</v>
      </c>
      <c r="F10" s="2" t="s">
        <v>5</v>
      </c>
      <c r="G10" s="67" t="s">
        <v>49</v>
      </c>
      <c r="H10" s="67" t="s">
        <v>46</v>
      </c>
      <c r="I10" s="67" t="s">
        <v>48</v>
      </c>
      <c r="J10" s="67" t="s">
        <v>47</v>
      </c>
      <c r="K10" s="67" t="s">
        <v>52</v>
      </c>
      <c r="L10" s="2" t="s">
        <v>6</v>
      </c>
      <c r="M10" s="33" t="s">
        <v>44</v>
      </c>
      <c r="N10" s="1" t="s">
        <v>8</v>
      </c>
      <c r="O10" s="100" t="s">
        <v>10</v>
      </c>
      <c r="P10" s="26" t="s">
        <v>1</v>
      </c>
      <c r="Q10" s="26" t="s">
        <v>9</v>
      </c>
      <c r="S10" s="3" t="s">
        <v>94</v>
      </c>
      <c r="T10" s="3" t="s">
        <v>95</v>
      </c>
      <c r="V10" s="3" t="s">
        <v>87</v>
      </c>
      <c r="W10" s="3" t="s">
        <v>88</v>
      </c>
    </row>
    <row r="11" spans="1:23" ht="13" x14ac:dyDescent="0.3">
      <c r="A11" t="s">
        <v>11</v>
      </c>
      <c r="B11" s="10">
        <v>441</v>
      </c>
      <c r="C11" s="10">
        <v>246</v>
      </c>
      <c r="D11" s="10">
        <v>60</v>
      </c>
      <c r="E11" s="10">
        <v>0</v>
      </c>
      <c r="F11" s="10">
        <v>2</v>
      </c>
      <c r="G11" s="10">
        <v>0</v>
      </c>
      <c r="H11" s="10">
        <v>0</v>
      </c>
      <c r="I11" s="10">
        <v>0</v>
      </c>
      <c r="J11" s="10">
        <v>0</v>
      </c>
      <c r="K11" s="10">
        <v>10</v>
      </c>
      <c r="L11" s="10">
        <v>0</v>
      </c>
      <c r="M11" s="31">
        <v>0</v>
      </c>
      <c r="N11" s="10">
        <f>SUM(C11:L11)</f>
        <v>318</v>
      </c>
      <c r="O11" s="10">
        <v>952</v>
      </c>
      <c r="P11" s="188">
        <f>S11/V11</f>
        <v>0.4</v>
      </c>
      <c r="Q11" s="179">
        <v>0.37662337662337664</v>
      </c>
      <c r="R11" s="22"/>
      <c r="S11" s="143">
        <v>126</v>
      </c>
      <c r="T11" s="143">
        <v>87</v>
      </c>
      <c r="V11" s="12">
        <v>315</v>
      </c>
      <c r="W11" s="12">
        <v>231</v>
      </c>
    </row>
    <row r="12" spans="1:23" ht="13" x14ac:dyDescent="0.3">
      <c r="A12" t="s">
        <v>12</v>
      </c>
      <c r="B12" s="10">
        <v>526</v>
      </c>
      <c r="C12" s="10">
        <v>308</v>
      </c>
      <c r="D12" s="10">
        <v>57</v>
      </c>
      <c r="E12" s="10">
        <v>0</v>
      </c>
      <c r="F12" s="10">
        <v>2</v>
      </c>
      <c r="G12" s="10">
        <v>0</v>
      </c>
      <c r="H12" s="10">
        <v>0</v>
      </c>
      <c r="I12" s="10">
        <v>0</v>
      </c>
      <c r="J12" s="10">
        <v>0</v>
      </c>
      <c r="K12" s="10">
        <v>24</v>
      </c>
      <c r="L12" s="10">
        <v>0</v>
      </c>
      <c r="M12" s="44">
        <v>0</v>
      </c>
      <c r="N12" s="10">
        <f t="shared" ref="N12:N22" si="0">SUM(C12:L12)</f>
        <v>391</v>
      </c>
      <c r="O12" s="10">
        <v>852</v>
      </c>
      <c r="P12" s="191">
        <f>S12/V12</f>
        <v>0.89891696750902528</v>
      </c>
      <c r="Q12" s="181">
        <v>0.76923076923076927</v>
      </c>
      <c r="R12" s="22"/>
      <c r="S12" s="143">
        <v>249</v>
      </c>
      <c r="T12" s="143">
        <v>170</v>
      </c>
      <c r="V12" s="12">
        <v>277</v>
      </c>
      <c r="W12" s="12">
        <v>221</v>
      </c>
    </row>
    <row r="13" spans="1:23" ht="13" x14ac:dyDescent="0.3">
      <c r="A13" t="s">
        <v>13</v>
      </c>
      <c r="B13" s="10">
        <v>602</v>
      </c>
      <c r="C13" s="10">
        <v>345</v>
      </c>
      <c r="D13" s="10">
        <v>81</v>
      </c>
      <c r="E13" s="10">
        <v>0</v>
      </c>
      <c r="F13" s="10">
        <v>8</v>
      </c>
      <c r="G13" s="10">
        <v>1</v>
      </c>
      <c r="H13" s="10">
        <v>0</v>
      </c>
      <c r="I13" s="10">
        <v>0</v>
      </c>
      <c r="J13" s="10">
        <v>0</v>
      </c>
      <c r="K13" s="10">
        <v>37</v>
      </c>
      <c r="L13" s="10">
        <v>0</v>
      </c>
      <c r="M13" s="44">
        <v>0</v>
      </c>
      <c r="N13" s="10">
        <f t="shared" si="0"/>
        <v>472</v>
      </c>
      <c r="O13" s="10">
        <v>1330</v>
      </c>
      <c r="P13" s="191">
        <f t="shared" ref="P13:P15" si="1">S13/V13</f>
        <v>0.419811320754717</v>
      </c>
      <c r="Q13" s="181">
        <v>0.47040498442367601</v>
      </c>
      <c r="R13" s="22"/>
      <c r="S13" s="143">
        <v>178</v>
      </c>
      <c r="T13" s="143">
        <v>151</v>
      </c>
      <c r="V13" s="12">
        <v>424</v>
      </c>
      <c r="W13" s="12">
        <v>321</v>
      </c>
    </row>
    <row r="14" spans="1:23" ht="13" x14ac:dyDescent="0.3">
      <c r="A14" t="s">
        <v>14</v>
      </c>
      <c r="B14" s="71">
        <v>758</v>
      </c>
      <c r="C14" s="71">
        <v>423</v>
      </c>
      <c r="D14" s="71">
        <v>84</v>
      </c>
      <c r="E14" s="71">
        <v>0</v>
      </c>
      <c r="F14" s="71">
        <v>20</v>
      </c>
      <c r="G14" s="85">
        <v>1</v>
      </c>
      <c r="H14" s="85">
        <v>0</v>
      </c>
      <c r="I14" s="85">
        <v>0</v>
      </c>
      <c r="J14" s="85">
        <v>2</v>
      </c>
      <c r="K14" s="85">
        <v>45</v>
      </c>
      <c r="L14" s="71">
        <v>6</v>
      </c>
      <c r="M14" s="44">
        <v>0</v>
      </c>
      <c r="N14" s="10">
        <f t="shared" si="0"/>
        <v>581</v>
      </c>
      <c r="O14" s="10">
        <v>1547</v>
      </c>
      <c r="P14" s="191">
        <f t="shared" si="1"/>
        <v>0.40370370370370373</v>
      </c>
      <c r="Q14" s="181">
        <v>0.3480278422273782</v>
      </c>
      <c r="R14" s="22"/>
      <c r="S14" s="143">
        <v>218</v>
      </c>
      <c r="T14" s="143">
        <v>150</v>
      </c>
      <c r="V14" s="12">
        <v>540</v>
      </c>
      <c r="W14" s="12">
        <v>431</v>
      </c>
    </row>
    <row r="15" spans="1:23" ht="13" x14ac:dyDescent="0.3">
      <c r="A15" t="s">
        <v>15</v>
      </c>
      <c r="B15" s="10">
        <v>1262</v>
      </c>
      <c r="C15" s="10">
        <v>611</v>
      </c>
      <c r="D15" s="10">
        <v>83</v>
      </c>
      <c r="E15" s="10">
        <v>1</v>
      </c>
      <c r="F15" s="10">
        <v>15</v>
      </c>
      <c r="G15" s="69">
        <v>3</v>
      </c>
      <c r="H15" s="69">
        <v>8</v>
      </c>
      <c r="I15" s="69">
        <v>42</v>
      </c>
      <c r="J15" s="69">
        <v>2</v>
      </c>
      <c r="K15" s="69">
        <v>73</v>
      </c>
      <c r="L15" s="10">
        <v>0</v>
      </c>
      <c r="M15" s="44">
        <v>0</v>
      </c>
      <c r="N15" s="10">
        <f t="shared" si="0"/>
        <v>838</v>
      </c>
      <c r="O15" s="10">
        <v>1465.5</v>
      </c>
      <c r="P15" s="191">
        <f t="shared" si="1"/>
        <v>0.71934604904632149</v>
      </c>
      <c r="Q15" s="181">
        <v>0.45233968804159447</v>
      </c>
      <c r="R15" s="22"/>
      <c r="S15" s="143">
        <v>528</v>
      </c>
      <c r="T15" s="143">
        <v>261</v>
      </c>
      <c r="V15" s="12">
        <v>734</v>
      </c>
      <c r="W15" s="12">
        <v>577</v>
      </c>
    </row>
    <row r="16" spans="1:23" ht="13" x14ac:dyDescent="0.3">
      <c r="A16" t="s">
        <v>16</v>
      </c>
      <c r="B16" s="10">
        <v>1893</v>
      </c>
      <c r="C16" s="10">
        <v>858</v>
      </c>
      <c r="D16" s="10">
        <v>77</v>
      </c>
      <c r="E16" s="10">
        <v>0</v>
      </c>
      <c r="F16" s="10">
        <v>10</v>
      </c>
      <c r="G16" s="69">
        <v>3</v>
      </c>
      <c r="H16" s="69">
        <v>17</v>
      </c>
      <c r="I16" s="69">
        <v>190</v>
      </c>
      <c r="J16" s="69">
        <v>22</v>
      </c>
      <c r="K16" s="69">
        <v>102</v>
      </c>
      <c r="L16" s="10">
        <v>2</v>
      </c>
      <c r="M16" s="44">
        <v>0</v>
      </c>
      <c r="N16" s="10">
        <f t="shared" si="0"/>
        <v>1281</v>
      </c>
      <c r="O16" s="10">
        <v>1329.5</v>
      </c>
      <c r="P16" s="191">
        <f>S16/V16</f>
        <v>0.12745681953543775</v>
      </c>
      <c r="Q16" s="181">
        <v>0.15613718411552346</v>
      </c>
      <c r="R16" s="22"/>
      <c r="S16" s="143">
        <v>214</v>
      </c>
      <c r="T16" s="143">
        <v>173</v>
      </c>
      <c r="V16" s="12">
        <v>1679</v>
      </c>
      <c r="W16" s="12">
        <v>1108</v>
      </c>
    </row>
    <row r="17" spans="1:23" ht="13" x14ac:dyDescent="0.3">
      <c r="A17" t="s">
        <v>17</v>
      </c>
      <c r="B17" s="10">
        <v>4006</v>
      </c>
      <c r="C17" s="10">
        <v>1348</v>
      </c>
      <c r="D17" s="10">
        <v>80</v>
      </c>
      <c r="E17" s="10">
        <v>0</v>
      </c>
      <c r="F17" s="10">
        <v>7</v>
      </c>
      <c r="G17" s="69">
        <v>3</v>
      </c>
      <c r="H17" s="69">
        <v>39</v>
      </c>
      <c r="I17" s="69">
        <v>589</v>
      </c>
      <c r="J17" s="69">
        <v>45</v>
      </c>
      <c r="K17" s="69">
        <v>112</v>
      </c>
      <c r="L17" s="10">
        <v>1</v>
      </c>
      <c r="M17" s="44">
        <v>0</v>
      </c>
      <c r="N17" s="10">
        <f t="shared" si="0"/>
        <v>2224</v>
      </c>
      <c r="O17" s="10">
        <v>1447.8</v>
      </c>
      <c r="P17" s="191">
        <f>S17/V17</f>
        <v>5.8947924927306369E-2</v>
      </c>
      <c r="Q17" s="181">
        <v>-3.2201914708442123E-2</v>
      </c>
      <c r="R17" s="22"/>
      <c r="S17" s="143">
        <v>223</v>
      </c>
      <c r="T17" s="143">
        <v>-74</v>
      </c>
      <c r="V17" s="12">
        <v>3783</v>
      </c>
      <c r="W17" s="12">
        <v>2298</v>
      </c>
    </row>
    <row r="18" spans="1:23" ht="13" x14ac:dyDescent="0.3">
      <c r="A18" t="s">
        <v>18</v>
      </c>
      <c r="B18" s="10">
        <v>2429</v>
      </c>
      <c r="C18" s="10">
        <v>951</v>
      </c>
      <c r="D18" s="10">
        <v>99</v>
      </c>
      <c r="E18" s="10">
        <v>1</v>
      </c>
      <c r="F18" s="10">
        <v>4</v>
      </c>
      <c r="G18" s="69">
        <v>5</v>
      </c>
      <c r="H18" s="69">
        <v>16</v>
      </c>
      <c r="I18" s="69">
        <v>265</v>
      </c>
      <c r="J18" s="69">
        <v>32.75</v>
      </c>
      <c r="K18" s="69">
        <v>108</v>
      </c>
      <c r="L18" s="10">
        <v>8</v>
      </c>
      <c r="M18" s="44">
        <v>0</v>
      </c>
      <c r="N18" s="10">
        <f t="shared" si="0"/>
        <v>1489.75</v>
      </c>
      <c r="O18" s="10">
        <v>1752.5</v>
      </c>
      <c r="P18" s="191">
        <f t="shared" ref="P18" si="2">S18/V18</f>
        <v>0.11780947998159227</v>
      </c>
      <c r="Q18" s="181">
        <v>7.7966714905933432E-2</v>
      </c>
      <c r="R18" s="22"/>
      <c r="S18" s="143">
        <v>256</v>
      </c>
      <c r="T18" s="143">
        <v>107.75</v>
      </c>
      <c r="V18" s="12">
        <v>2173</v>
      </c>
      <c r="W18" s="12">
        <v>1382</v>
      </c>
    </row>
    <row r="19" spans="1:23" ht="13" x14ac:dyDescent="0.3">
      <c r="A19" t="s">
        <v>19</v>
      </c>
      <c r="B19" s="10">
        <v>1178</v>
      </c>
      <c r="C19" s="10">
        <v>610</v>
      </c>
      <c r="D19" s="10">
        <v>80</v>
      </c>
      <c r="E19" s="10">
        <v>0</v>
      </c>
      <c r="F19" s="10">
        <v>12</v>
      </c>
      <c r="G19" s="69">
        <v>1</v>
      </c>
      <c r="H19" s="69">
        <v>3</v>
      </c>
      <c r="I19" s="69">
        <v>10</v>
      </c>
      <c r="J19" s="69">
        <v>3</v>
      </c>
      <c r="K19" s="69">
        <v>104</v>
      </c>
      <c r="L19" s="10">
        <v>4</v>
      </c>
      <c r="M19" s="44">
        <v>0</v>
      </c>
      <c r="N19" s="10">
        <f t="shared" si="0"/>
        <v>827</v>
      </c>
      <c r="O19" s="10">
        <v>1427</v>
      </c>
      <c r="P19" s="191">
        <f>S19/V19</f>
        <v>0.71970802919708032</v>
      </c>
      <c r="Q19" s="181">
        <v>0.7337526205450734</v>
      </c>
      <c r="R19" s="22"/>
      <c r="S19" s="143">
        <v>493</v>
      </c>
      <c r="T19" s="143">
        <v>350</v>
      </c>
      <c r="V19" s="12">
        <v>685</v>
      </c>
      <c r="W19" s="12">
        <v>477</v>
      </c>
    </row>
    <row r="20" spans="1:23" ht="13" x14ac:dyDescent="0.3">
      <c r="A20" t="s">
        <v>20</v>
      </c>
      <c r="B20" s="10">
        <v>1088</v>
      </c>
      <c r="C20" s="10">
        <v>609</v>
      </c>
      <c r="D20" s="10">
        <v>86</v>
      </c>
      <c r="E20" s="10">
        <v>0</v>
      </c>
      <c r="F20" s="10">
        <v>3</v>
      </c>
      <c r="G20" s="10">
        <v>3</v>
      </c>
      <c r="H20" s="10">
        <v>0</v>
      </c>
      <c r="I20" s="10">
        <v>2</v>
      </c>
      <c r="J20" s="10">
        <v>2</v>
      </c>
      <c r="K20" s="10">
        <v>33</v>
      </c>
      <c r="L20" s="10">
        <v>1</v>
      </c>
      <c r="M20" s="44">
        <v>0</v>
      </c>
      <c r="N20" s="10">
        <f t="shared" si="0"/>
        <v>739</v>
      </c>
      <c r="O20" s="10">
        <v>1262</v>
      </c>
      <c r="P20" s="191">
        <f t="shared" ref="P20:P22" si="3">S20/V20</f>
        <v>0.96389891696750907</v>
      </c>
      <c r="Q20" s="181">
        <v>0.89002557544757033</v>
      </c>
      <c r="R20" s="22"/>
      <c r="S20" s="143">
        <v>534</v>
      </c>
      <c r="T20" s="143">
        <v>348</v>
      </c>
      <c r="V20" s="12">
        <v>554</v>
      </c>
      <c r="W20" s="12">
        <v>391</v>
      </c>
    </row>
    <row r="21" spans="1:23" ht="13" x14ac:dyDescent="0.3">
      <c r="A21" t="s">
        <v>21</v>
      </c>
      <c r="B21" s="10">
        <v>762</v>
      </c>
      <c r="C21" s="10">
        <v>451</v>
      </c>
      <c r="D21" s="10">
        <v>83</v>
      </c>
      <c r="E21" s="10">
        <v>0</v>
      </c>
      <c r="F21" s="10">
        <v>16</v>
      </c>
      <c r="G21" s="69">
        <v>0</v>
      </c>
      <c r="H21" s="69">
        <v>2</v>
      </c>
      <c r="I21" s="69">
        <v>0</v>
      </c>
      <c r="J21" s="69">
        <v>1</v>
      </c>
      <c r="K21" s="69">
        <v>28</v>
      </c>
      <c r="L21" s="10">
        <v>2</v>
      </c>
      <c r="M21" s="44">
        <v>0</v>
      </c>
      <c r="N21" s="10">
        <f t="shared" si="0"/>
        <v>583</v>
      </c>
      <c r="O21" s="10">
        <v>1501</v>
      </c>
      <c r="P21" s="191">
        <f t="shared" si="3"/>
        <v>0.93893129770992367</v>
      </c>
      <c r="Q21" s="181">
        <v>0.90522875816993464</v>
      </c>
      <c r="R21" s="22"/>
      <c r="S21" s="143">
        <v>369</v>
      </c>
      <c r="T21" s="143">
        <v>277</v>
      </c>
      <c r="V21" s="12">
        <v>393</v>
      </c>
      <c r="W21" s="12">
        <v>306</v>
      </c>
    </row>
    <row r="22" spans="1:23" ht="13" x14ac:dyDescent="0.3">
      <c r="A22" s="4" t="s">
        <v>22</v>
      </c>
      <c r="B22" s="11">
        <v>512</v>
      </c>
      <c r="C22" s="11">
        <v>298</v>
      </c>
      <c r="D22" s="11">
        <v>61</v>
      </c>
      <c r="E22" s="11">
        <v>0</v>
      </c>
      <c r="F22" s="11">
        <v>11</v>
      </c>
      <c r="G22" s="126">
        <v>0</v>
      </c>
      <c r="H22" s="126">
        <v>3</v>
      </c>
      <c r="I22" s="126">
        <v>0</v>
      </c>
      <c r="J22" s="126">
        <v>0</v>
      </c>
      <c r="K22" s="126">
        <v>10</v>
      </c>
      <c r="L22" s="11">
        <v>0</v>
      </c>
      <c r="M22" s="30">
        <v>0</v>
      </c>
      <c r="N22" s="11">
        <f t="shared" si="0"/>
        <v>383</v>
      </c>
      <c r="O22" s="11">
        <v>1037</v>
      </c>
      <c r="P22" s="189">
        <f t="shared" si="3"/>
        <v>0.30946291560102301</v>
      </c>
      <c r="Q22" s="184">
        <v>0.33449477351916379</v>
      </c>
      <c r="R22" s="22"/>
      <c r="S22" s="169">
        <v>121</v>
      </c>
      <c r="T22" s="169">
        <v>96</v>
      </c>
      <c r="V22" s="20">
        <v>391</v>
      </c>
      <c r="W22" s="12">
        <v>287</v>
      </c>
    </row>
    <row r="23" spans="1:23" ht="13" x14ac:dyDescent="0.3">
      <c r="A23" s="36" t="s">
        <v>96</v>
      </c>
      <c r="B23" s="8">
        <f>SUM(B11:B22)</f>
        <v>15457</v>
      </c>
      <c r="C23" s="8">
        <f t="shared" ref="C23:O23" si="4">SUM(C11:C22)</f>
        <v>7058</v>
      </c>
      <c r="D23" s="8">
        <f t="shared" si="4"/>
        <v>931</v>
      </c>
      <c r="E23" s="8">
        <f t="shared" si="4"/>
        <v>2</v>
      </c>
      <c r="F23" s="8">
        <f t="shared" si="4"/>
        <v>110</v>
      </c>
      <c r="G23" s="61">
        <f t="shared" si="4"/>
        <v>20</v>
      </c>
      <c r="H23" s="61">
        <f t="shared" si="4"/>
        <v>88</v>
      </c>
      <c r="I23" s="61">
        <f t="shared" si="4"/>
        <v>1098</v>
      </c>
      <c r="J23" s="61">
        <f t="shared" si="4"/>
        <v>109.75</v>
      </c>
      <c r="K23" s="61">
        <f t="shared" si="4"/>
        <v>686</v>
      </c>
      <c r="L23" s="8">
        <f t="shared" si="4"/>
        <v>24</v>
      </c>
      <c r="M23" s="31">
        <f t="shared" si="4"/>
        <v>0</v>
      </c>
      <c r="N23" s="8">
        <f t="shared" si="4"/>
        <v>10126.75</v>
      </c>
      <c r="O23" s="8">
        <f t="shared" si="4"/>
        <v>15903.3</v>
      </c>
      <c r="P23" s="191">
        <f>S23/V23</f>
        <v>0.2936893203883495</v>
      </c>
      <c r="Q23" s="181">
        <v>0.26111457036114571</v>
      </c>
      <c r="R23" s="22"/>
      <c r="S23" s="143">
        <v>3509</v>
      </c>
      <c r="T23" s="143">
        <v>2096.75</v>
      </c>
      <c r="V23" s="12">
        <v>11948</v>
      </c>
      <c r="W23" s="12">
        <v>8030</v>
      </c>
    </row>
    <row r="24" spans="1:23" ht="13" x14ac:dyDescent="0.3">
      <c r="A24" s="37" t="s">
        <v>89</v>
      </c>
      <c r="B24" s="9">
        <v>11948</v>
      </c>
      <c r="C24" s="9">
        <v>4883</v>
      </c>
      <c r="D24" s="9">
        <v>1088</v>
      </c>
      <c r="E24" s="9">
        <v>1</v>
      </c>
      <c r="F24" s="9">
        <v>80</v>
      </c>
      <c r="G24" s="9">
        <v>11</v>
      </c>
      <c r="H24" s="9">
        <v>67</v>
      </c>
      <c r="I24" s="9">
        <v>1286</v>
      </c>
      <c r="J24" s="9">
        <v>114</v>
      </c>
      <c r="K24" s="9">
        <v>474</v>
      </c>
      <c r="L24" s="9">
        <v>26</v>
      </c>
      <c r="M24" s="9">
        <v>0</v>
      </c>
      <c r="N24" s="9">
        <v>8030</v>
      </c>
      <c r="O24" s="9">
        <v>17088</v>
      </c>
      <c r="P24" s="47"/>
      <c r="Q24" s="120"/>
    </row>
    <row r="25" spans="1:23" ht="13" x14ac:dyDescent="0.3">
      <c r="A25" s="5" t="s">
        <v>23</v>
      </c>
      <c r="B25" s="9">
        <f t="shared" ref="B25:O25" si="5">B23-B24</f>
        <v>3509</v>
      </c>
      <c r="C25" s="9">
        <f t="shared" si="5"/>
        <v>2175</v>
      </c>
      <c r="D25" s="9">
        <f t="shared" si="5"/>
        <v>-157</v>
      </c>
      <c r="E25" s="9">
        <f t="shared" si="5"/>
        <v>1</v>
      </c>
      <c r="F25" s="9">
        <f t="shared" si="5"/>
        <v>30</v>
      </c>
      <c r="G25" s="9">
        <f t="shared" si="5"/>
        <v>9</v>
      </c>
      <c r="H25" s="9">
        <f t="shared" si="5"/>
        <v>21</v>
      </c>
      <c r="I25" s="9">
        <f t="shared" si="5"/>
        <v>-188</v>
      </c>
      <c r="J25" s="9">
        <f t="shared" si="5"/>
        <v>-4.25</v>
      </c>
      <c r="K25" s="9">
        <f t="shared" si="5"/>
        <v>212</v>
      </c>
      <c r="L25" s="9">
        <f t="shared" si="5"/>
        <v>-2</v>
      </c>
      <c r="M25" s="30">
        <f t="shared" si="5"/>
        <v>0</v>
      </c>
      <c r="N25" s="9">
        <f t="shared" si="5"/>
        <v>2096.75</v>
      </c>
      <c r="O25" s="9">
        <f t="shared" si="5"/>
        <v>-1184.7000000000007</v>
      </c>
      <c r="P25" s="104"/>
      <c r="Q25" s="155"/>
    </row>
    <row r="29" spans="1:23" ht="12.75" customHeight="1" x14ac:dyDescent="0.25">
      <c r="A29" s="317" t="s">
        <v>101</v>
      </c>
      <c r="B29" s="318"/>
      <c r="C29" s="318"/>
      <c r="D29" s="318"/>
      <c r="E29" s="318"/>
      <c r="F29" s="318"/>
      <c r="G29" s="318"/>
      <c r="H29" s="318"/>
      <c r="I29" s="318"/>
      <c r="J29" s="318"/>
      <c r="K29" s="318"/>
      <c r="L29" s="318"/>
      <c r="M29" s="318"/>
      <c r="N29" s="318"/>
      <c r="O29" s="318"/>
      <c r="P29" s="318"/>
      <c r="Q29" s="318"/>
      <c r="R29" s="318"/>
      <c r="S29" s="318"/>
      <c r="T29" s="318"/>
      <c r="U29" s="318"/>
      <c r="V29" s="318"/>
    </row>
    <row r="30" spans="1:23" ht="12.75" customHeight="1" x14ac:dyDescent="0.25">
      <c r="A30" s="318"/>
      <c r="B30" s="318"/>
      <c r="C30" s="318"/>
      <c r="D30" s="318"/>
      <c r="E30" s="318"/>
      <c r="F30" s="318"/>
      <c r="G30" s="318"/>
      <c r="H30" s="318"/>
      <c r="I30" s="318"/>
      <c r="J30" s="318"/>
      <c r="K30" s="318"/>
      <c r="L30" s="318"/>
      <c r="M30" s="318"/>
      <c r="N30" s="318"/>
      <c r="O30" s="318"/>
      <c r="P30" s="318"/>
      <c r="Q30" s="318"/>
      <c r="R30" s="318"/>
      <c r="S30" s="318"/>
      <c r="T30" s="318"/>
      <c r="U30" s="318"/>
      <c r="V30" s="318"/>
    </row>
    <row r="31" spans="1:23" ht="12.75" customHeight="1" x14ac:dyDescent="0.25">
      <c r="A31" s="318"/>
      <c r="B31" s="318"/>
      <c r="C31" s="318"/>
      <c r="D31" s="318"/>
      <c r="E31" s="318"/>
      <c r="F31" s="318"/>
      <c r="G31" s="318"/>
      <c r="H31" s="318"/>
      <c r="I31" s="318"/>
      <c r="J31" s="318"/>
      <c r="K31" s="318"/>
      <c r="L31" s="318"/>
      <c r="M31" s="318"/>
      <c r="N31" s="318"/>
      <c r="O31" s="318"/>
      <c r="P31" s="318"/>
      <c r="Q31" s="318"/>
      <c r="R31" s="318"/>
      <c r="S31" s="318"/>
      <c r="T31" s="318"/>
      <c r="U31" s="318"/>
      <c r="V31" s="318"/>
    </row>
    <row r="32" spans="1:23" ht="12.75" customHeight="1" x14ac:dyDescent="0.25">
      <c r="A32" s="318"/>
      <c r="B32" s="318"/>
      <c r="C32" s="318"/>
      <c r="D32" s="318"/>
      <c r="E32" s="318"/>
      <c r="F32" s="318"/>
      <c r="G32" s="318"/>
      <c r="H32" s="318"/>
      <c r="I32" s="318"/>
      <c r="J32" s="318"/>
      <c r="K32" s="318"/>
      <c r="L32" s="318"/>
      <c r="M32" s="318"/>
      <c r="N32" s="318"/>
      <c r="O32" s="318"/>
      <c r="P32" s="318"/>
      <c r="Q32" s="318"/>
      <c r="R32" s="318"/>
      <c r="S32" s="318"/>
      <c r="T32" s="318"/>
      <c r="U32" s="318"/>
      <c r="V32" s="318"/>
    </row>
    <row r="33" spans="1:23" ht="12.75" customHeight="1" x14ac:dyDescent="0.25">
      <c r="A33" s="318"/>
      <c r="B33" s="318"/>
      <c r="C33" s="318"/>
      <c r="D33" s="318"/>
      <c r="E33" s="318"/>
      <c r="F33" s="318"/>
      <c r="G33" s="318"/>
      <c r="H33" s="318"/>
      <c r="I33" s="318"/>
      <c r="J33" s="318"/>
      <c r="K33" s="318"/>
      <c r="L33" s="318"/>
      <c r="M33" s="318"/>
      <c r="N33" s="318"/>
      <c r="O33" s="318"/>
      <c r="P33" s="318"/>
      <c r="Q33" s="318"/>
      <c r="R33" s="318"/>
      <c r="S33" s="318"/>
      <c r="T33" s="318"/>
      <c r="U33" s="318"/>
      <c r="V33" s="318"/>
    </row>
    <row r="34" spans="1:23" ht="12.75" customHeight="1" x14ac:dyDescent="0.25">
      <c r="A34" s="318"/>
      <c r="B34" s="318"/>
      <c r="C34" s="318"/>
      <c r="D34" s="318"/>
      <c r="E34" s="318"/>
      <c r="F34" s="318"/>
      <c r="G34" s="318"/>
      <c r="H34" s="318"/>
      <c r="I34" s="318"/>
      <c r="J34" s="318"/>
      <c r="K34" s="318"/>
      <c r="L34" s="318"/>
      <c r="M34" s="318"/>
      <c r="N34" s="318"/>
      <c r="O34" s="318"/>
      <c r="P34" s="318"/>
      <c r="Q34" s="318"/>
      <c r="R34" s="318"/>
      <c r="S34" s="318"/>
      <c r="T34" s="318"/>
      <c r="U34" s="318"/>
      <c r="V34" s="318"/>
    </row>
    <row r="36" spans="1:23" ht="12.5" x14ac:dyDescent="0.25">
      <c r="P36" s="102"/>
      <c r="Q36" s="102"/>
    </row>
    <row r="37" spans="1:23" ht="12.5" x14ac:dyDescent="0.25">
      <c r="P37" s="102"/>
      <c r="Q37" s="102"/>
    </row>
    <row r="38" spans="1:23" ht="12.5" x14ac:dyDescent="0.25">
      <c r="P38" s="102"/>
      <c r="Q38" s="102"/>
    </row>
    <row r="39" spans="1:23" ht="12.5" x14ac:dyDescent="0.25">
      <c r="O39" s="102"/>
      <c r="P39" s="102"/>
      <c r="Q39" s="102"/>
    </row>
    <row r="40" spans="1:23" ht="12.5" x14ac:dyDescent="0.25">
      <c r="O40" s="102"/>
      <c r="P40" s="102"/>
      <c r="Q40" s="102"/>
    </row>
    <row r="41" spans="1:23" ht="12.5" x14ac:dyDescent="0.25">
      <c r="P41" s="102"/>
      <c r="Q41" s="102"/>
    </row>
    <row r="42" spans="1:23" ht="13" x14ac:dyDescent="0.3">
      <c r="A42" s="1" t="s">
        <v>0</v>
      </c>
      <c r="B42" s="2" t="s">
        <v>1</v>
      </c>
      <c r="C42" s="2" t="s">
        <v>2</v>
      </c>
      <c r="D42" s="2" t="s">
        <v>3</v>
      </c>
      <c r="E42" s="2" t="s">
        <v>4</v>
      </c>
      <c r="F42" s="2" t="s">
        <v>5</v>
      </c>
      <c r="G42" s="67" t="s">
        <v>49</v>
      </c>
      <c r="H42" s="67" t="s">
        <v>46</v>
      </c>
      <c r="I42" s="67" t="s">
        <v>48</v>
      </c>
      <c r="J42" s="67" t="s">
        <v>47</v>
      </c>
      <c r="K42" s="67" t="s">
        <v>52</v>
      </c>
      <c r="L42" s="2" t="s">
        <v>6</v>
      </c>
      <c r="M42" s="33" t="s">
        <v>44</v>
      </c>
      <c r="N42" s="1" t="s">
        <v>8</v>
      </c>
      <c r="O42" s="100" t="s">
        <v>10</v>
      </c>
      <c r="P42" s="26" t="s">
        <v>1</v>
      </c>
      <c r="Q42" s="26" t="s">
        <v>9</v>
      </c>
      <c r="S42" s="3" t="s">
        <v>103</v>
      </c>
      <c r="T42" s="3" t="s">
        <v>104</v>
      </c>
      <c r="V42" s="3" t="s">
        <v>94</v>
      </c>
      <c r="W42" s="3" t="s">
        <v>95</v>
      </c>
    </row>
    <row r="43" spans="1:23" ht="13" x14ac:dyDescent="0.3">
      <c r="A43" t="s">
        <v>11</v>
      </c>
      <c r="B43" s="10">
        <v>534</v>
      </c>
      <c r="C43" s="10">
        <v>334</v>
      </c>
      <c r="D43" s="10">
        <v>68</v>
      </c>
      <c r="E43" s="10">
        <v>0</v>
      </c>
      <c r="F43" s="10">
        <v>11</v>
      </c>
      <c r="G43" s="10">
        <v>0</v>
      </c>
      <c r="H43" s="10">
        <v>0</v>
      </c>
      <c r="I43" s="10">
        <v>0</v>
      </c>
      <c r="J43" s="10">
        <v>0</v>
      </c>
      <c r="K43" s="10">
        <v>19</v>
      </c>
      <c r="L43" s="10">
        <v>0</v>
      </c>
      <c r="M43" s="31">
        <v>0</v>
      </c>
      <c r="N43" s="10">
        <f>SUM(C43:L43)</f>
        <v>432</v>
      </c>
      <c r="O43" s="10">
        <v>1148</v>
      </c>
      <c r="P43" s="188">
        <f>S43/V43</f>
        <v>0.21088435374149661</v>
      </c>
      <c r="Q43" s="179">
        <f>T43/W43</f>
        <v>0.35849056603773582</v>
      </c>
      <c r="R43" s="22"/>
      <c r="S43" s="143">
        <f t="shared" ref="S43" si="6">B43-V43</f>
        <v>93</v>
      </c>
      <c r="T43" s="143">
        <f t="shared" ref="T43" si="7">N43-W43</f>
        <v>114</v>
      </c>
      <c r="V43" s="12">
        <f t="shared" ref="V43:V54" si="8">B11</f>
        <v>441</v>
      </c>
      <c r="W43" s="12">
        <f t="shared" ref="W43:W54" si="9">N11</f>
        <v>318</v>
      </c>
    </row>
    <row r="44" spans="1:23" ht="13" x14ac:dyDescent="0.3">
      <c r="A44" t="s">
        <v>12</v>
      </c>
      <c r="B44" s="10">
        <v>471</v>
      </c>
      <c r="C44" s="10">
        <v>291</v>
      </c>
      <c r="D44" s="10">
        <v>62</v>
      </c>
      <c r="E44" s="10">
        <v>0</v>
      </c>
      <c r="F44" s="10">
        <v>7</v>
      </c>
      <c r="G44" s="10">
        <v>0</v>
      </c>
      <c r="H44" s="10">
        <v>0</v>
      </c>
      <c r="I44" s="10">
        <v>0</v>
      </c>
      <c r="J44" s="10">
        <v>0</v>
      </c>
      <c r="K44" s="10">
        <v>10</v>
      </c>
      <c r="L44" s="10">
        <v>1</v>
      </c>
      <c r="M44" s="44">
        <v>0</v>
      </c>
      <c r="N44" s="10">
        <f t="shared" ref="N44:N52" si="10">SUM(C44:L44)</f>
        <v>371</v>
      </c>
      <c r="O44" s="10">
        <v>1072</v>
      </c>
      <c r="P44" s="191">
        <f>S44/V44</f>
        <v>-0.10456273764258556</v>
      </c>
      <c r="Q44" s="181">
        <f>T44/W44</f>
        <v>-5.1150895140664961E-2</v>
      </c>
      <c r="R44" s="22"/>
      <c r="S44" s="143">
        <f>B44-V44</f>
        <v>-55</v>
      </c>
      <c r="T44" s="143">
        <f>N44-W44</f>
        <v>-20</v>
      </c>
      <c r="V44" s="12">
        <f t="shared" si="8"/>
        <v>526</v>
      </c>
      <c r="W44" s="12">
        <f t="shared" si="9"/>
        <v>391</v>
      </c>
    </row>
    <row r="45" spans="1:23" ht="13" x14ac:dyDescent="0.3">
      <c r="A45" t="s">
        <v>13</v>
      </c>
      <c r="B45" s="10">
        <v>620</v>
      </c>
      <c r="C45" s="10">
        <v>353</v>
      </c>
      <c r="D45" s="10">
        <v>74</v>
      </c>
      <c r="E45" s="10">
        <v>0</v>
      </c>
      <c r="F45" s="10">
        <v>5</v>
      </c>
      <c r="G45" s="10">
        <v>0</v>
      </c>
      <c r="H45" s="10">
        <v>0</v>
      </c>
      <c r="I45" s="10">
        <v>0</v>
      </c>
      <c r="J45" s="10">
        <v>0</v>
      </c>
      <c r="K45" s="10">
        <v>26</v>
      </c>
      <c r="L45" s="10">
        <v>4</v>
      </c>
      <c r="M45" s="44">
        <v>0</v>
      </c>
      <c r="N45" s="10">
        <f t="shared" si="10"/>
        <v>462</v>
      </c>
      <c r="O45" s="10">
        <v>1078</v>
      </c>
      <c r="P45" s="191">
        <f t="shared" ref="P45:P47" si="11">S45/V45</f>
        <v>2.9900332225913623E-2</v>
      </c>
      <c r="Q45" s="181">
        <f t="shared" ref="Q45:Q54" si="12">T45/W45</f>
        <v>-2.1186440677966101E-2</v>
      </c>
      <c r="R45" s="22"/>
      <c r="S45" s="143">
        <f t="shared" ref="S45:S54" si="13">B45-V45</f>
        <v>18</v>
      </c>
      <c r="T45" s="143">
        <f t="shared" ref="T45:T54" si="14">N45-W45</f>
        <v>-10</v>
      </c>
      <c r="V45" s="12">
        <f t="shared" si="8"/>
        <v>602</v>
      </c>
      <c r="W45" s="12">
        <f t="shared" si="9"/>
        <v>472</v>
      </c>
    </row>
    <row r="46" spans="1:23" ht="13" x14ac:dyDescent="0.3">
      <c r="A46" t="s">
        <v>14</v>
      </c>
      <c r="B46" s="71">
        <v>853</v>
      </c>
      <c r="C46" s="71">
        <v>475</v>
      </c>
      <c r="D46" s="71">
        <v>72</v>
      </c>
      <c r="E46" s="71">
        <v>1</v>
      </c>
      <c r="F46" s="71">
        <v>4</v>
      </c>
      <c r="G46" s="85">
        <v>0</v>
      </c>
      <c r="H46" s="85">
        <v>1</v>
      </c>
      <c r="I46" s="85">
        <v>5</v>
      </c>
      <c r="J46" s="85">
        <v>3</v>
      </c>
      <c r="K46" s="85">
        <v>65</v>
      </c>
      <c r="L46" s="71">
        <v>3</v>
      </c>
      <c r="M46" s="44">
        <v>0</v>
      </c>
      <c r="N46" s="10">
        <f t="shared" si="10"/>
        <v>629</v>
      </c>
      <c r="O46" s="10">
        <v>1186</v>
      </c>
      <c r="P46" s="191">
        <f t="shared" si="11"/>
        <v>0.12532981530343007</v>
      </c>
      <c r="Q46" s="181">
        <f t="shared" si="12"/>
        <v>8.2616179001721177E-2</v>
      </c>
      <c r="R46" s="22"/>
      <c r="S46" s="143">
        <f t="shared" si="13"/>
        <v>95</v>
      </c>
      <c r="T46" s="143">
        <f t="shared" si="14"/>
        <v>48</v>
      </c>
      <c r="V46" s="12">
        <f t="shared" si="8"/>
        <v>758</v>
      </c>
      <c r="W46" s="12">
        <f t="shared" si="9"/>
        <v>581</v>
      </c>
    </row>
    <row r="47" spans="1:23" ht="13" x14ac:dyDescent="0.3">
      <c r="A47" t="s">
        <v>15</v>
      </c>
      <c r="B47" s="10">
        <v>1302</v>
      </c>
      <c r="C47" s="10">
        <v>674</v>
      </c>
      <c r="D47" s="10">
        <v>84</v>
      </c>
      <c r="E47" s="10">
        <v>0</v>
      </c>
      <c r="F47" s="10">
        <v>11</v>
      </c>
      <c r="G47" s="69">
        <v>1</v>
      </c>
      <c r="H47" s="69">
        <v>6</v>
      </c>
      <c r="I47" s="69">
        <v>61</v>
      </c>
      <c r="J47" s="69">
        <v>10</v>
      </c>
      <c r="K47" s="69">
        <v>105</v>
      </c>
      <c r="L47" s="10">
        <v>3</v>
      </c>
      <c r="M47" s="44">
        <v>0</v>
      </c>
      <c r="N47" s="10">
        <f t="shared" si="10"/>
        <v>955</v>
      </c>
      <c r="O47" s="10">
        <v>1340</v>
      </c>
      <c r="P47" s="191">
        <f t="shared" si="11"/>
        <v>3.1695721077654518E-2</v>
      </c>
      <c r="Q47" s="181">
        <f t="shared" si="12"/>
        <v>0.13961813842482101</v>
      </c>
      <c r="R47" s="22"/>
      <c r="S47" s="143">
        <f t="shared" si="13"/>
        <v>40</v>
      </c>
      <c r="T47" s="143">
        <f t="shared" si="14"/>
        <v>117</v>
      </c>
      <c r="V47" s="12">
        <f t="shared" si="8"/>
        <v>1262</v>
      </c>
      <c r="W47" s="12">
        <f t="shared" si="9"/>
        <v>838</v>
      </c>
    </row>
    <row r="48" spans="1:23" ht="13" x14ac:dyDescent="0.3">
      <c r="A48" t="s">
        <v>16</v>
      </c>
      <c r="B48" s="10">
        <v>2227</v>
      </c>
      <c r="C48" s="10">
        <v>918</v>
      </c>
      <c r="D48" s="10">
        <v>85</v>
      </c>
      <c r="E48" s="10">
        <v>0</v>
      </c>
      <c r="F48" s="10">
        <v>8</v>
      </c>
      <c r="G48" s="69">
        <v>0</v>
      </c>
      <c r="H48" s="69">
        <v>13</v>
      </c>
      <c r="I48" s="69">
        <v>246</v>
      </c>
      <c r="J48" s="69">
        <v>7</v>
      </c>
      <c r="K48" s="69">
        <v>118</v>
      </c>
      <c r="L48" s="10">
        <v>1</v>
      </c>
      <c r="M48" s="44">
        <v>0</v>
      </c>
      <c r="N48" s="10">
        <f t="shared" si="10"/>
        <v>1396</v>
      </c>
      <c r="O48" s="10">
        <v>1269</v>
      </c>
      <c r="P48" s="191">
        <f>S48/V48</f>
        <v>0.17643951399894348</v>
      </c>
      <c r="Q48" s="181">
        <f t="shared" si="12"/>
        <v>8.9773614363778301E-2</v>
      </c>
      <c r="R48" s="22"/>
      <c r="S48" s="143">
        <f t="shared" si="13"/>
        <v>334</v>
      </c>
      <c r="T48" s="143">
        <f t="shared" si="14"/>
        <v>115</v>
      </c>
      <c r="V48" s="12">
        <f t="shared" si="8"/>
        <v>1893</v>
      </c>
      <c r="W48" s="12">
        <f t="shared" si="9"/>
        <v>1281</v>
      </c>
    </row>
    <row r="49" spans="1:23" ht="13" x14ac:dyDescent="0.3">
      <c r="A49" t="s">
        <v>17</v>
      </c>
      <c r="B49" s="10">
        <v>3958</v>
      </c>
      <c r="C49" s="10">
        <v>1354</v>
      </c>
      <c r="D49" s="10">
        <v>136</v>
      </c>
      <c r="E49" s="10">
        <v>0</v>
      </c>
      <c r="F49" s="10">
        <v>5</v>
      </c>
      <c r="G49" s="69">
        <v>5</v>
      </c>
      <c r="H49" s="69">
        <v>30</v>
      </c>
      <c r="I49" s="69">
        <v>660</v>
      </c>
      <c r="J49" s="69">
        <v>41</v>
      </c>
      <c r="K49" s="69">
        <v>123</v>
      </c>
      <c r="L49" s="10">
        <v>0</v>
      </c>
      <c r="M49" s="44">
        <v>0</v>
      </c>
      <c r="N49" s="10">
        <f t="shared" si="10"/>
        <v>2354</v>
      </c>
      <c r="O49" s="10">
        <v>1641</v>
      </c>
      <c r="P49" s="191">
        <f>S49/V49</f>
        <v>-1.1982026959560658E-2</v>
      </c>
      <c r="Q49" s="181">
        <f t="shared" si="12"/>
        <v>5.845323741007194E-2</v>
      </c>
      <c r="R49" s="22"/>
      <c r="S49" s="143">
        <f t="shared" si="13"/>
        <v>-48</v>
      </c>
      <c r="T49" s="143">
        <f t="shared" si="14"/>
        <v>130</v>
      </c>
      <c r="V49" s="12">
        <f t="shared" si="8"/>
        <v>4006</v>
      </c>
      <c r="W49" s="12">
        <f t="shared" si="9"/>
        <v>2224</v>
      </c>
    </row>
    <row r="50" spans="1:23" ht="13" x14ac:dyDescent="0.3">
      <c r="A50" t="s">
        <v>18</v>
      </c>
      <c r="B50" s="10">
        <v>2623</v>
      </c>
      <c r="C50" s="10">
        <v>1021</v>
      </c>
      <c r="D50" s="10">
        <v>103</v>
      </c>
      <c r="E50" s="10">
        <v>0</v>
      </c>
      <c r="F50" s="10">
        <v>20</v>
      </c>
      <c r="G50" s="69">
        <v>1</v>
      </c>
      <c r="H50" s="69">
        <v>26</v>
      </c>
      <c r="I50" s="69">
        <v>334</v>
      </c>
      <c r="J50" s="69">
        <v>37</v>
      </c>
      <c r="K50" s="69">
        <v>80</v>
      </c>
      <c r="L50" s="10">
        <v>0</v>
      </c>
      <c r="M50" s="44">
        <v>0</v>
      </c>
      <c r="N50" s="10">
        <f t="shared" si="10"/>
        <v>1622</v>
      </c>
      <c r="O50" s="10">
        <v>1622</v>
      </c>
      <c r="P50" s="191">
        <f t="shared" ref="P50" si="15">S50/V50</f>
        <v>7.9868258542610121E-2</v>
      </c>
      <c r="Q50" s="181">
        <f t="shared" si="12"/>
        <v>8.8773284108071823E-2</v>
      </c>
      <c r="R50" s="22"/>
      <c r="S50" s="143">
        <f t="shared" si="13"/>
        <v>194</v>
      </c>
      <c r="T50" s="143">
        <f t="shared" si="14"/>
        <v>132.25</v>
      </c>
      <c r="V50" s="12">
        <f t="shared" si="8"/>
        <v>2429</v>
      </c>
      <c r="W50" s="12">
        <f t="shared" si="9"/>
        <v>1489.75</v>
      </c>
    </row>
    <row r="51" spans="1:23" ht="13" x14ac:dyDescent="0.3">
      <c r="A51" t="s">
        <v>19</v>
      </c>
      <c r="B51" s="10">
        <v>1191</v>
      </c>
      <c r="C51" s="10">
        <v>639</v>
      </c>
      <c r="D51" s="10">
        <v>77</v>
      </c>
      <c r="E51" s="10">
        <v>0</v>
      </c>
      <c r="F51" s="10">
        <v>17</v>
      </c>
      <c r="G51" s="69">
        <v>0</v>
      </c>
      <c r="H51" s="69">
        <v>5</v>
      </c>
      <c r="I51" s="69">
        <v>28</v>
      </c>
      <c r="J51" s="69">
        <v>7</v>
      </c>
      <c r="K51" s="69">
        <v>77</v>
      </c>
      <c r="L51" s="10">
        <v>1</v>
      </c>
      <c r="M51" s="44">
        <v>0</v>
      </c>
      <c r="N51" s="10">
        <f t="shared" si="10"/>
        <v>851</v>
      </c>
      <c r="O51" s="10">
        <v>1388</v>
      </c>
      <c r="P51" s="191">
        <f>S51/V51</f>
        <v>1.1035653650254669E-2</v>
      </c>
      <c r="Q51" s="181">
        <f t="shared" si="12"/>
        <v>2.9020556227327691E-2</v>
      </c>
      <c r="R51" s="22"/>
      <c r="S51" s="143">
        <f t="shared" si="13"/>
        <v>13</v>
      </c>
      <c r="T51" s="143">
        <f t="shared" si="14"/>
        <v>24</v>
      </c>
      <c r="V51" s="12">
        <f t="shared" si="8"/>
        <v>1178</v>
      </c>
      <c r="W51" s="12">
        <f t="shared" si="9"/>
        <v>827</v>
      </c>
    </row>
    <row r="52" spans="1:23" ht="13" x14ac:dyDescent="0.3">
      <c r="A52" t="s">
        <v>20</v>
      </c>
      <c r="B52" s="10">
        <f>296+780</f>
        <v>1076</v>
      </c>
      <c r="C52" s="10">
        <f>162+419</f>
        <v>581</v>
      </c>
      <c r="D52" s="10">
        <f>34+59</f>
        <v>93</v>
      </c>
      <c r="E52" s="10">
        <v>0</v>
      </c>
      <c r="F52" s="10">
        <f>5+9</f>
        <v>14</v>
      </c>
      <c r="G52" s="10">
        <v>0</v>
      </c>
      <c r="H52" s="10">
        <v>0</v>
      </c>
      <c r="I52" s="10">
        <v>7</v>
      </c>
      <c r="J52" s="10">
        <v>3</v>
      </c>
      <c r="K52" s="10">
        <f>16+56</f>
        <v>72</v>
      </c>
      <c r="L52" s="10">
        <v>1</v>
      </c>
      <c r="M52" s="44">
        <v>0</v>
      </c>
      <c r="N52" s="10">
        <f t="shared" si="10"/>
        <v>771</v>
      </c>
      <c r="O52" s="10">
        <f>571+974</f>
        <v>1545</v>
      </c>
      <c r="P52" s="191">
        <f t="shared" ref="P52:P54" si="16">S52/V52</f>
        <v>-1.1029411764705883E-2</v>
      </c>
      <c r="Q52" s="181">
        <f t="shared" si="12"/>
        <v>4.3301759133964821E-2</v>
      </c>
      <c r="R52" s="22"/>
      <c r="S52" s="143">
        <f t="shared" si="13"/>
        <v>-12</v>
      </c>
      <c r="T52" s="143">
        <f t="shared" si="14"/>
        <v>32</v>
      </c>
      <c r="V52" s="12">
        <f t="shared" si="8"/>
        <v>1088</v>
      </c>
      <c r="W52" s="12">
        <f t="shared" si="9"/>
        <v>739</v>
      </c>
    </row>
    <row r="53" spans="1:23" ht="13" x14ac:dyDescent="0.3">
      <c r="A53" t="s">
        <v>21</v>
      </c>
      <c r="B53" s="10">
        <v>782</v>
      </c>
      <c r="C53" s="10">
        <v>450</v>
      </c>
      <c r="D53" s="10">
        <v>89</v>
      </c>
      <c r="E53" s="10">
        <v>0</v>
      </c>
      <c r="F53" s="10">
        <v>20</v>
      </c>
      <c r="G53" s="69">
        <v>0</v>
      </c>
      <c r="H53" s="69">
        <v>0</v>
      </c>
      <c r="I53" s="69">
        <v>0</v>
      </c>
      <c r="J53" s="69">
        <v>0</v>
      </c>
      <c r="K53" s="69">
        <v>47</v>
      </c>
      <c r="L53" s="10">
        <v>1</v>
      </c>
      <c r="M53" s="44">
        <v>0</v>
      </c>
      <c r="N53" s="10">
        <v>607</v>
      </c>
      <c r="O53" s="10">
        <v>1629</v>
      </c>
      <c r="P53" s="191">
        <f t="shared" si="16"/>
        <v>2.6246719160104987E-2</v>
      </c>
      <c r="Q53" s="181">
        <f t="shared" si="12"/>
        <v>4.1166380789022301E-2</v>
      </c>
      <c r="R53" s="22"/>
      <c r="S53" s="143">
        <f t="shared" si="13"/>
        <v>20</v>
      </c>
      <c r="T53" s="143">
        <f t="shared" si="14"/>
        <v>24</v>
      </c>
      <c r="V53" s="12">
        <f t="shared" si="8"/>
        <v>762</v>
      </c>
      <c r="W53" s="12">
        <f t="shared" si="9"/>
        <v>583</v>
      </c>
    </row>
    <row r="54" spans="1:23" ht="13" x14ac:dyDescent="0.3">
      <c r="A54" s="4" t="s">
        <v>22</v>
      </c>
      <c r="B54" s="11">
        <v>522</v>
      </c>
      <c r="C54" s="11">
        <v>301</v>
      </c>
      <c r="D54" s="11">
        <v>57</v>
      </c>
      <c r="E54" s="11">
        <v>0</v>
      </c>
      <c r="F54" s="11">
        <v>2</v>
      </c>
      <c r="G54" s="126">
        <v>0</v>
      </c>
      <c r="H54" s="126">
        <v>1</v>
      </c>
      <c r="I54" s="126">
        <v>0</v>
      </c>
      <c r="J54" s="126">
        <v>1</v>
      </c>
      <c r="K54" s="126">
        <v>8</v>
      </c>
      <c r="L54" s="11">
        <v>1</v>
      </c>
      <c r="M54" s="30">
        <v>0</v>
      </c>
      <c r="N54" s="11">
        <v>371</v>
      </c>
      <c r="O54" s="11">
        <v>910</v>
      </c>
      <c r="P54" s="189">
        <f t="shared" si="16"/>
        <v>1.953125E-2</v>
      </c>
      <c r="Q54" s="184">
        <f t="shared" si="12"/>
        <v>-3.1331592689295036E-2</v>
      </c>
      <c r="R54" s="22"/>
      <c r="S54" s="169">
        <f t="shared" si="13"/>
        <v>10</v>
      </c>
      <c r="T54" s="169">
        <f t="shared" si="14"/>
        <v>-12</v>
      </c>
      <c r="V54" s="20">
        <f t="shared" si="8"/>
        <v>512</v>
      </c>
      <c r="W54" s="20">
        <f t="shared" si="9"/>
        <v>383</v>
      </c>
    </row>
    <row r="55" spans="1:23" ht="13" x14ac:dyDescent="0.3">
      <c r="A55" s="36" t="s">
        <v>108</v>
      </c>
      <c r="B55" s="8">
        <f>SUM(B43:B54)</f>
        <v>16159</v>
      </c>
      <c r="C55" s="8">
        <f t="shared" ref="C55:O55" si="17">SUM(C43:C54)</f>
        <v>7391</v>
      </c>
      <c r="D55" s="8">
        <f t="shared" si="17"/>
        <v>1000</v>
      </c>
      <c r="E55" s="8">
        <f t="shared" si="17"/>
        <v>1</v>
      </c>
      <c r="F55" s="8">
        <f t="shared" si="17"/>
        <v>124</v>
      </c>
      <c r="G55" s="61">
        <f t="shared" si="17"/>
        <v>7</v>
      </c>
      <c r="H55" s="61">
        <f t="shared" si="17"/>
        <v>82</v>
      </c>
      <c r="I55" s="61">
        <f t="shared" si="17"/>
        <v>1341</v>
      </c>
      <c r="J55" s="61">
        <f t="shared" si="17"/>
        <v>109</v>
      </c>
      <c r="K55" s="61">
        <f t="shared" si="17"/>
        <v>750</v>
      </c>
      <c r="L55" s="8">
        <f t="shared" si="17"/>
        <v>16</v>
      </c>
      <c r="M55" s="31">
        <f t="shared" si="17"/>
        <v>0</v>
      </c>
      <c r="N55" s="8">
        <f t="shared" si="17"/>
        <v>10821</v>
      </c>
      <c r="O55" s="8">
        <f t="shared" si="17"/>
        <v>15828</v>
      </c>
      <c r="P55" s="191">
        <f>S55/V55</f>
        <v>4.5416316232127836E-2</v>
      </c>
      <c r="Q55" s="181">
        <f>T55/W55</f>
        <v>6.8556052040388088E-2</v>
      </c>
      <c r="R55" s="22"/>
      <c r="S55" s="143">
        <f>SUM(S43:S54)</f>
        <v>702</v>
      </c>
      <c r="T55" s="143">
        <f>SUM(T43:T54)</f>
        <v>694.25</v>
      </c>
      <c r="V55" s="12">
        <f>SUM(V43:V54)</f>
        <v>15457</v>
      </c>
      <c r="W55" s="12">
        <f>SUM(W43:W54)</f>
        <v>10126.75</v>
      </c>
    </row>
    <row r="56" spans="1:23" ht="13" x14ac:dyDescent="0.3">
      <c r="A56" s="37" t="s">
        <v>96</v>
      </c>
      <c r="B56" s="9">
        <v>15457</v>
      </c>
      <c r="C56" s="9">
        <v>7058</v>
      </c>
      <c r="D56" s="9">
        <v>931</v>
      </c>
      <c r="E56" s="9">
        <v>2</v>
      </c>
      <c r="F56" s="9">
        <v>110</v>
      </c>
      <c r="G56" s="9">
        <v>20</v>
      </c>
      <c r="H56" s="9">
        <v>88</v>
      </c>
      <c r="I56" s="9">
        <v>1098</v>
      </c>
      <c r="J56" s="9">
        <v>109.75</v>
      </c>
      <c r="K56" s="9">
        <v>686</v>
      </c>
      <c r="L56" s="9">
        <v>24</v>
      </c>
      <c r="M56" s="9">
        <v>0</v>
      </c>
      <c r="N56" s="9">
        <v>10126.75</v>
      </c>
      <c r="O56" s="9">
        <v>15903.3</v>
      </c>
      <c r="P56" s="21">
        <v>0.2936893203883495</v>
      </c>
      <c r="Q56" s="156">
        <v>0.26111457036114571</v>
      </c>
    </row>
    <row r="57" spans="1:23" ht="13" x14ac:dyDescent="0.3">
      <c r="A57" s="5" t="s">
        <v>23</v>
      </c>
      <c r="B57" s="9">
        <f t="shared" ref="B57:O57" si="18">B55-B56</f>
        <v>702</v>
      </c>
      <c r="C57" s="9">
        <f t="shared" si="18"/>
        <v>333</v>
      </c>
      <c r="D57" s="9">
        <f t="shared" si="18"/>
        <v>69</v>
      </c>
      <c r="E57" s="9">
        <f t="shared" si="18"/>
        <v>-1</v>
      </c>
      <c r="F57" s="9">
        <f t="shared" si="18"/>
        <v>14</v>
      </c>
      <c r="G57" s="9">
        <f t="shared" si="18"/>
        <v>-13</v>
      </c>
      <c r="H57" s="9">
        <f t="shared" si="18"/>
        <v>-6</v>
      </c>
      <c r="I57" s="9">
        <f t="shared" si="18"/>
        <v>243</v>
      </c>
      <c r="J57" s="9">
        <f t="shared" si="18"/>
        <v>-0.75</v>
      </c>
      <c r="K57" s="9">
        <f t="shared" si="18"/>
        <v>64</v>
      </c>
      <c r="L57" s="9">
        <f t="shared" si="18"/>
        <v>-8</v>
      </c>
      <c r="M57" s="30">
        <f t="shared" si="18"/>
        <v>0</v>
      </c>
      <c r="N57" s="9">
        <f t="shared" si="18"/>
        <v>694.25</v>
      </c>
      <c r="O57" s="9">
        <f t="shared" si="18"/>
        <v>-75.299999999999272</v>
      </c>
      <c r="P57" s="104"/>
      <c r="Q57" s="155"/>
    </row>
    <row r="60" spans="1:23" ht="12.75" customHeight="1" x14ac:dyDescent="0.25">
      <c r="C60" s="3" t="s">
        <v>182</v>
      </c>
      <c r="E60" s="335" t="s">
        <v>183</v>
      </c>
    </row>
    <row r="63" spans="1:23" ht="12.75" customHeight="1" x14ac:dyDescent="0.3">
      <c r="A63" s="1" t="s">
        <v>0</v>
      </c>
      <c r="B63" s="2" t="s">
        <v>1</v>
      </c>
      <c r="C63" s="2" t="s">
        <v>2</v>
      </c>
      <c r="D63" s="2" t="s">
        <v>3</v>
      </c>
      <c r="E63" s="2" t="s">
        <v>4</v>
      </c>
      <c r="F63" s="2" t="s">
        <v>5</v>
      </c>
      <c r="G63" s="2" t="s">
        <v>49</v>
      </c>
      <c r="H63" s="2" t="s">
        <v>46</v>
      </c>
      <c r="I63" s="2" t="s">
        <v>48</v>
      </c>
      <c r="J63" s="2" t="s">
        <v>47</v>
      </c>
      <c r="K63" s="2" t="s">
        <v>52</v>
      </c>
      <c r="L63" s="2" t="s">
        <v>6</v>
      </c>
      <c r="M63" s="32" t="s">
        <v>44</v>
      </c>
      <c r="N63" s="1" t="s">
        <v>8</v>
      </c>
      <c r="O63" s="100" t="s">
        <v>10</v>
      </c>
      <c r="P63" s="26" t="s">
        <v>1</v>
      </c>
      <c r="Q63" s="26" t="s">
        <v>9</v>
      </c>
      <c r="S63" s="407" t="s">
        <v>129</v>
      </c>
      <c r="T63" s="407" t="s">
        <v>130</v>
      </c>
      <c r="V63" s="3" t="s">
        <v>103</v>
      </c>
      <c r="W63" s="3" t="s">
        <v>104</v>
      </c>
    </row>
    <row r="64" spans="1:23" ht="12.75" customHeight="1" x14ac:dyDescent="0.3">
      <c r="A64" t="s">
        <v>11</v>
      </c>
      <c r="B64" s="10">
        <v>622</v>
      </c>
      <c r="C64" s="10">
        <v>375</v>
      </c>
      <c r="D64" s="10">
        <v>62</v>
      </c>
      <c r="E64" s="10">
        <v>0</v>
      </c>
      <c r="F64" s="10">
        <v>10</v>
      </c>
      <c r="G64" s="10">
        <v>0</v>
      </c>
      <c r="H64" s="10">
        <v>0</v>
      </c>
      <c r="I64" s="10">
        <v>0</v>
      </c>
      <c r="J64" s="10">
        <v>1</v>
      </c>
      <c r="K64" s="10">
        <v>17</v>
      </c>
      <c r="L64" s="10">
        <v>0</v>
      </c>
      <c r="M64" s="31">
        <v>0</v>
      </c>
      <c r="N64" s="10">
        <f>SUM(C64:L64)</f>
        <v>465</v>
      </c>
      <c r="O64" s="10">
        <v>965</v>
      </c>
      <c r="P64" s="285">
        <f>S64/V64</f>
        <v>0.16479400749063669</v>
      </c>
      <c r="Q64" s="286">
        <f>T64/W64</f>
        <v>7.6388888888888895E-2</v>
      </c>
      <c r="S64">
        <f>B64-V64</f>
        <v>88</v>
      </c>
      <c r="T64" s="12">
        <f>N64-W64</f>
        <v>33</v>
      </c>
      <c r="V64" s="10">
        <v>534</v>
      </c>
      <c r="W64" s="10">
        <v>432</v>
      </c>
    </row>
    <row r="65" spans="1:23" ht="12.75" customHeight="1" x14ac:dyDescent="0.3">
      <c r="A65" t="s">
        <v>12</v>
      </c>
      <c r="B65" s="10">
        <v>524</v>
      </c>
      <c r="C65" s="10">
        <v>320</v>
      </c>
      <c r="D65" s="10">
        <v>53</v>
      </c>
      <c r="E65" s="10">
        <v>0</v>
      </c>
      <c r="F65" s="10">
        <v>4</v>
      </c>
      <c r="G65" s="10">
        <v>0</v>
      </c>
      <c r="H65" s="10">
        <v>0</v>
      </c>
      <c r="I65" s="10">
        <v>0</v>
      </c>
      <c r="J65" s="10">
        <v>1</v>
      </c>
      <c r="K65" s="10">
        <v>14</v>
      </c>
      <c r="L65" s="10">
        <v>0</v>
      </c>
      <c r="M65" s="31">
        <v>0</v>
      </c>
      <c r="N65" s="10">
        <f t="shared" ref="N65:N75" si="19">SUM(C65:L65)</f>
        <v>392</v>
      </c>
      <c r="O65" s="10">
        <v>815</v>
      </c>
      <c r="P65" s="285">
        <f>S65/V65</f>
        <v>0.11252653927813164</v>
      </c>
      <c r="Q65" s="287">
        <f>T65/W65</f>
        <v>5.6603773584905662E-2</v>
      </c>
      <c r="S65">
        <f>B65-V65</f>
        <v>53</v>
      </c>
      <c r="T65">
        <f>N65-W65</f>
        <v>21</v>
      </c>
      <c r="V65" s="10">
        <v>471</v>
      </c>
      <c r="W65" s="10">
        <v>371</v>
      </c>
    </row>
    <row r="66" spans="1:23" ht="12.75" customHeight="1" x14ac:dyDescent="0.3">
      <c r="A66" t="s">
        <v>13</v>
      </c>
      <c r="B66" s="10">
        <v>679</v>
      </c>
      <c r="C66" s="10">
        <v>406</v>
      </c>
      <c r="D66" s="10">
        <v>55</v>
      </c>
      <c r="E66" s="10">
        <v>0</v>
      </c>
      <c r="F66" s="10">
        <v>4</v>
      </c>
      <c r="G66" s="10">
        <v>0</v>
      </c>
      <c r="H66" s="10">
        <v>0</v>
      </c>
      <c r="I66" s="10">
        <v>0</v>
      </c>
      <c r="J66" s="10">
        <v>1</v>
      </c>
      <c r="K66" s="10">
        <v>38</v>
      </c>
      <c r="L66" s="10">
        <v>0</v>
      </c>
      <c r="M66" s="31">
        <v>0</v>
      </c>
      <c r="N66" s="10">
        <f t="shared" si="19"/>
        <v>504</v>
      </c>
      <c r="O66" s="10">
        <v>846</v>
      </c>
      <c r="P66" s="285">
        <f t="shared" ref="P66:Q76" si="20">S66/V66</f>
        <v>9.5161290322580638E-2</v>
      </c>
      <c r="Q66" s="287">
        <f t="shared" si="20"/>
        <v>9.0909090909090912E-2</v>
      </c>
      <c r="S66">
        <f t="shared" ref="S66:S75" si="21">B66-V66</f>
        <v>59</v>
      </c>
      <c r="T66">
        <f t="shared" ref="T66:T75" si="22">N66-W66</f>
        <v>42</v>
      </c>
      <c r="V66" s="10">
        <v>620</v>
      </c>
      <c r="W66" s="10">
        <v>462</v>
      </c>
    </row>
    <row r="67" spans="1:23" ht="12.75" customHeight="1" x14ac:dyDescent="0.3">
      <c r="A67" t="s">
        <v>14</v>
      </c>
      <c r="B67" s="16">
        <v>510</v>
      </c>
      <c r="C67" s="16">
        <v>282</v>
      </c>
      <c r="D67" s="16">
        <v>52</v>
      </c>
      <c r="E67" s="16">
        <v>0</v>
      </c>
      <c r="F67" s="16">
        <v>6</v>
      </c>
      <c r="G67" s="16">
        <v>0</v>
      </c>
      <c r="H67" s="16">
        <v>0</v>
      </c>
      <c r="I67" s="16">
        <v>0</v>
      </c>
      <c r="J67" s="16">
        <v>0</v>
      </c>
      <c r="K67" s="16">
        <v>40</v>
      </c>
      <c r="L67" s="16">
        <v>2</v>
      </c>
      <c r="M67" s="31">
        <v>0</v>
      </c>
      <c r="N67" s="10">
        <f t="shared" si="19"/>
        <v>382</v>
      </c>
      <c r="O67" s="10">
        <v>947</v>
      </c>
      <c r="P67" s="285">
        <f t="shared" si="20"/>
        <v>-0.40211019929660025</v>
      </c>
      <c r="Q67" s="287">
        <f t="shared" si="20"/>
        <v>-0.39268680445151033</v>
      </c>
      <c r="R67" t="s">
        <v>124</v>
      </c>
      <c r="S67">
        <f t="shared" si="21"/>
        <v>-343</v>
      </c>
      <c r="T67">
        <f t="shared" si="22"/>
        <v>-247</v>
      </c>
      <c r="V67" s="16">
        <v>853</v>
      </c>
      <c r="W67" s="10">
        <v>629</v>
      </c>
    </row>
    <row r="68" spans="1:23" ht="12.75" customHeight="1" x14ac:dyDescent="0.3">
      <c r="A68" t="s">
        <v>15</v>
      </c>
      <c r="B68" s="10">
        <v>1224</v>
      </c>
      <c r="C68" s="10">
        <v>652</v>
      </c>
      <c r="D68" s="10">
        <v>66</v>
      </c>
      <c r="E68" s="10">
        <v>0</v>
      </c>
      <c r="F68" s="10">
        <v>12</v>
      </c>
      <c r="G68" s="10">
        <v>0</v>
      </c>
      <c r="H68" s="10">
        <v>3</v>
      </c>
      <c r="I68" s="10">
        <v>31</v>
      </c>
      <c r="J68" s="10">
        <v>4</v>
      </c>
      <c r="K68" s="10">
        <v>95</v>
      </c>
      <c r="L68" s="10">
        <v>1</v>
      </c>
      <c r="M68" s="31">
        <v>0</v>
      </c>
      <c r="N68" s="10">
        <f t="shared" si="19"/>
        <v>864</v>
      </c>
      <c r="O68" s="10">
        <v>864</v>
      </c>
      <c r="P68" s="285">
        <f t="shared" si="20"/>
        <v>-5.9907834101382486E-2</v>
      </c>
      <c r="Q68" s="287">
        <f t="shared" si="20"/>
        <v>-9.5287958115183244E-2</v>
      </c>
      <c r="S68">
        <f t="shared" si="21"/>
        <v>-78</v>
      </c>
      <c r="T68">
        <f t="shared" si="22"/>
        <v>-91</v>
      </c>
      <c r="V68" s="10">
        <v>1302</v>
      </c>
      <c r="W68" s="10">
        <v>955</v>
      </c>
    </row>
    <row r="69" spans="1:23" ht="12.75" customHeight="1" x14ac:dyDescent="0.3">
      <c r="A69" t="s">
        <v>16</v>
      </c>
      <c r="B69" s="10">
        <v>2534</v>
      </c>
      <c r="C69" s="10">
        <v>1035</v>
      </c>
      <c r="D69" s="10">
        <v>70</v>
      </c>
      <c r="E69" s="10">
        <v>0</v>
      </c>
      <c r="F69" s="10">
        <v>13</v>
      </c>
      <c r="G69" s="10">
        <v>0</v>
      </c>
      <c r="H69" s="10">
        <v>12</v>
      </c>
      <c r="I69" s="10">
        <v>184</v>
      </c>
      <c r="J69" s="10">
        <v>24</v>
      </c>
      <c r="K69" s="10">
        <v>106</v>
      </c>
      <c r="L69" s="10">
        <v>1</v>
      </c>
      <c r="M69" s="31">
        <v>0</v>
      </c>
      <c r="N69" s="10">
        <f t="shared" si="19"/>
        <v>1445</v>
      </c>
      <c r="O69" s="10">
        <v>1278</v>
      </c>
      <c r="P69" s="285">
        <f t="shared" si="20"/>
        <v>0.13785361472833407</v>
      </c>
      <c r="Q69" s="287">
        <f t="shared" si="20"/>
        <v>3.5100286532951289E-2</v>
      </c>
      <c r="S69">
        <f t="shared" si="21"/>
        <v>307</v>
      </c>
      <c r="T69">
        <f t="shared" si="22"/>
        <v>49</v>
      </c>
      <c r="V69" s="10">
        <v>2227</v>
      </c>
      <c r="W69" s="10">
        <v>1396</v>
      </c>
    </row>
    <row r="70" spans="1:23" ht="12.75" customHeight="1" x14ac:dyDescent="0.3">
      <c r="A70" t="s">
        <v>17</v>
      </c>
      <c r="B70" s="10">
        <v>4229</v>
      </c>
      <c r="C70" s="10">
        <v>1436</v>
      </c>
      <c r="D70" s="10">
        <v>111</v>
      </c>
      <c r="E70" s="10">
        <v>1</v>
      </c>
      <c r="F70" s="10">
        <v>19</v>
      </c>
      <c r="G70" s="10">
        <v>2</v>
      </c>
      <c r="H70" s="10">
        <v>26</v>
      </c>
      <c r="I70" s="10">
        <v>693</v>
      </c>
      <c r="J70" s="10">
        <v>41</v>
      </c>
      <c r="K70" s="10">
        <v>123</v>
      </c>
      <c r="L70" s="10">
        <v>2</v>
      </c>
      <c r="M70" s="31">
        <v>0</v>
      </c>
      <c r="N70" s="10">
        <f t="shared" si="19"/>
        <v>2454</v>
      </c>
      <c r="O70" s="10">
        <v>1977</v>
      </c>
      <c r="P70" s="285">
        <f t="shared" si="20"/>
        <v>6.8468923698837794E-2</v>
      </c>
      <c r="Q70" s="287">
        <f t="shared" si="20"/>
        <v>4.2480883602378929E-2</v>
      </c>
      <c r="S70">
        <f t="shared" si="21"/>
        <v>271</v>
      </c>
      <c r="T70">
        <f t="shared" si="22"/>
        <v>100</v>
      </c>
      <c r="V70" s="10">
        <v>3958</v>
      </c>
      <c r="W70" s="10">
        <v>2354</v>
      </c>
    </row>
    <row r="71" spans="1:23" ht="12.75" customHeight="1" x14ac:dyDescent="0.3">
      <c r="A71" t="s">
        <v>18</v>
      </c>
      <c r="B71" s="10">
        <v>2534</v>
      </c>
      <c r="C71" s="10">
        <v>999</v>
      </c>
      <c r="D71" s="10">
        <v>78</v>
      </c>
      <c r="E71" s="10">
        <v>0</v>
      </c>
      <c r="F71" s="10">
        <v>21</v>
      </c>
      <c r="G71" s="10">
        <v>4</v>
      </c>
      <c r="H71" s="10">
        <v>17</v>
      </c>
      <c r="I71" s="10">
        <v>320</v>
      </c>
      <c r="J71" s="10">
        <v>14</v>
      </c>
      <c r="K71" s="10">
        <v>83</v>
      </c>
      <c r="L71" s="10">
        <v>0</v>
      </c>
      <c r="M71" s="31">
        <v>0</v>
      </c>
      <c r="N71" s="10">
        <f t="shared" si="19"/>
        <v>1536</v>
      </c>
      <c r="O71" s="10">
        <v>1487</v>
      </c>
      <c r="P71" s="285">
        <f t="shared" si="20"/>
        <v>-3.393061380099123E-2</v>
      </c>
      <c r="Q71" s="287">
        <f t="shared" si="20"/>
        <v>-5.3020961775585698E-2</v>
      </c>
      <c r="S71">
        <f t="shared" si="21"/>
        <v>-89</v>
      </c>
      <c r="T71">
        <f t="shared" si="22"/>
        <v>-86</v>
      </c>
      <c r="V71" s="10">
        <v>2623</v>
      </c>
      <c r="W71" s="10">
        <v>1622</v>
      </c>
    </row>
    <row r="72" spans="1:23" ht="12.75" customHeight="1" x14ac:dyDescent="0.3">
      <c r="A72" t="s">
        <v>19</v>
      </c>
      <c r="B72" s="10">
        <v>1321</v>
      </c>
      <c r="C72" s="10">
        <v>727</v>
      </c>
      <c r="D72" s="10">
        <v>63</v>
      </c>
      <c r="E72" s="10">
        <v>0</v>
      </c>
      <c r="F72" s="10">
        <v>22</v>
      </c>
      <c r="G72" s="10">
        <v>0</v>
      </c>
      <c r="H72" s="10">
        <v>6</v>
      </c>
      <c r="I72" s="10">
        <v>17</v>
      </c>
      <c r="J72" s="10">
        <v>4</v>
      </c>
      <c r="K72" s="10">
        <v>72</v>
      </c>
      <c r="L72" s="10">
        <v>1</v>
      </c>
      <c r="M72" s="31">
        <v>0</v>
      </c>
      <c r="N72" s="10">
        <f t="shared" si="19"/>
        <v>912</v>
      </c>
      <c r="O72" s="10">
        <v>1277</v>
      </c>
      <c r="P72" s="285">
        <f t="shared" si="20"/>
        <v>0.109151973131822</v>
      </c>
      <c r="Q72" s="287">
        <f t="shared" si="20"/>
        <v>7.1680376028202111E-2</v>
      </c>
      <c r="S72">
        <f t="shared" si="21"/>
        <v>130</v>
      </c>
      <c r="T72">
        <f t="shared" si="22"/>
        <v>61</v>
      </c>
      <c r="V72" s="10">
        <v>1191</v>
      </c>
      <c r="W72" s="10">
        <v>851</v>
      </c>
    </row>
    <row r="73" spans="1:23" ht="12.75" customHeight="1" x14ac:dyDescent="0.3">
      <c r="A73" t="s">
        <v>20</v>
      </c>
      <c r="B73" s="10">
        <v>1144</v>
      </c>
      <c r="C73" s="10">
        <v>615</v>
      </c>
      <c r="D73" s="10">
        <v>79</v>
      </c>
      <c r="E73" s="10">
        <v>0</v>
      </c>
      <c r="F73" s="10">
        <v>22</v>
      </c>
      <c r="G73" s="10">
        <v>0</v>
      </c>
      <c r="H73" s="10">
        <v>1</v>
      </c>
      <c r="I73" s="10">
        <v>5</v>
      </c>
      <c r="J73" s="10">
        <v>1</v>
      </c>
      <c r="K73" s="10">
        <v>50</v>
      </c>
      <c r="L73" s="10">
        <v>4</v>
      </c>
      <c r="M73" s="31">
        <v>0</v>
      </c>
      <c r="N73" s="10">
        <f t="shared" si="19"/>
        <v>777</v>
      </c>
      <c r="O73" s="10">
        <v>1459</v>
      </c>
      <c r="P73" s="285">
        <f t="shared" si="20"/>
        <v>6.3197026022304828E-2</v>
      </c>
      <c r="Q73" s="287">
        <f t="shared" si="20"/>
        <v>7.7821011673151752E-3</v>
      </c>
      <c r="S73">
        <f t="shared" si="21"/>
        <v>68</v>
      </c>
      <c r="T73">
        <f t="shared" si="22"/>
        <v>6</v>
      </c>
      <c r="V73" s="10">
        <v>1076</v>
      </c>
      <c r="W73" s="10">
        <v>771</v>
      </c>
    </row>
    <row r="74" spans="1:23" ht="12.75" customHeight="1" x14ac:dyDescent="0.3">
      <c r="A74" t="s">
        <v>21</v>
      </c>
      <c r="B74" s="10">
        <v>1035</v>
      </c>
      <c r="C74" s="10">
        <v>558</v>
      </c>
      <c r="D74" s="10">
        <v>83</v>
      </c>
      <c r="E74" s="10">
        <v>0</v>
      </c>
      <c r="F74" s="10">
        <v>18</v>
      </c>
      <c r="G74" s="10">
        <v>0</v>
      </c>
      <c r="H74" s="10">
        <v>0</v>
      </c>
      <c r="I74" s="10">
        <v>0</v>
      </c>
      <c r="J74" s="10">
        <v>0</v>
      </c>
      <c r="K74" s="10">
        <v>39</v>
      </c>
      <c r="L74" s="10">
        <v>1</v>
      </c>
      <c r="M74" s="31">
        <v>0</v>
      </c>
      <c r="N74" s="10">
        <f t="shared" si="19"/>
        <v>699</v>
      </c>
      <c r="O74" s="10">
        <v>1402</v>
      </c>
      <c r="P74" s="285">
        <f t="shared" si="20"/>
        <v>0.3235294117647059</v>
      </c>
      <c r="Q74" s="287">
        <f t="shared" si="20"/>
        <v>0.1515650741350906</v>
      </c>
      <c r="S74">
        <f t="shared" si="21"/>
        <v>253</v>
      </c>
      <c r="T74">
        <f t="shared" si="22"/>
        <v>92</v>
      </c>
      <c r="V74" s="10">
        <v>782</v>
      </c>
      <c r="W74" s="10">
        <v>607</v>
      </c>
    </row>
    <row r="75" spans="1:23" ht="12.75" customHeight="1" x14ac:dyDescent="0.3">
      <c r="A75" s="4" t="s">
        <v>22</v>
      </c>
      <c r="B75" s="11">
        <v>712</v>
      </c>
      <c r="C75" s="11">
        <v>394</v>
      </c>
      <c r="D75" s="11">
        <v>71</v>
      </c>
      <c r="E75" s="11">
        <v>0</v>
      </c>
      <c r="F75" s="11">
        <v>5</v>
      </c>
      <c r="G75" s="11">
        <v>0</v>
      </c>
      <c r="H75" s="11">
        <v>1</v>
      </c>
      <c r="I75" s="11">
        <v>0</v>
      </c>
      <c r="J75" s="11">
        <v>0</v>
      </c>
      <c r="K75" s="11">
        <v>17</v>
      </c>
      <c r="L75" s="11">
        <v>1</v>
      </c>
      <c r="M75" s="30">
        <v>0</v>
      </c>
      <c r="N75" s="11">
        <f t="shared" si="19"/>
        <v>489</v>
      </c>
      <c r="O75" s="11">
        <v>1164</v>
      </c>
      <c r="P75" s="288">
        <f t="shared" si="20"/>
        <v>0.36398467432950193</v>
      </c>
      <c r="Q75" s="289">
        <f t="shared" si="20"/>
        <v>0.31805929919137466</v>
      </c>
      <c r="S75">
        <f t="shared" si="21"/>
        <v>190</v>
      </c>
      <c r="T75">
        <f t="shared" si="22"/>
        <v>118</v>
      </c>
      <c r="V75" s="11">
        <v>522</v>
      </c>
      <c r="W75" s="11">
        <v>371</v>
      </c>
    </row>
    <row r="76" spans="1:23" ht="12.75" customHeight="1" x14ac:dyDescent="0.3">
      <c r="A76" s="36" t="s">
        <v>184</v>
      </c>
      <c r="B76" s="8">
        <f>SUM(B64:B75)</f>
        <v>17068</v>
      </c>
      <c r="C76" s="8">
        <f t="shared" ref="C76:O76" si="23">SUM(C64:C75)</f>
        <v>7799</v>
      </c>
      <c r="D76" s="8">
        <f t="shared" si="23"/>
        <v>843</v>
      </c>
      <c r="E76" s="8">
        <f t="shared" si="23"/>
        <v>1</v>
      </c>
      <c r="F76" s="8">
        <f t="shared" si="23"/>
        <v>156</v>
      </c>
      <c r="G76" s="8">
        <f t="shared" si="23"/>
        <v>6</v>
      </c>
      <c r="H76" s="8">
        <f t="shared" si="23"/>
        <v>66</v>
      </c>
      <c r="I76" s="8">
        <f t="shared" si="23"/>
        <v>1250</v>
      </c>
      <c r="J76" s="8">
        <f t="shared" si="23"/>
        <v>91</v>
      </c>
      <c r="K76" s="8">
        <f t="shared" si="23"/>
        <v>694</v>
      </c>
      <c r="L76" s="8">
        <f t="shared" si="23"/>
        <v>13</v>
      </c>
      <c r="M76" s="31">
        <f t="shared" si="23"/>
        <v>0</v>
      </c>
      <c r="N76" s="8">
        <f t="shared" si="23"/>
        <v>10919</v>
      </c>
      <c r="O76" s="8">
        <f t="shared" si="23"/>
        <v>14481</v>
      </c>
      <c r="P76" s="285">
        <f t="shared" si="20"/>
        <v>5.6253481032242092E-2</v>
      </c>
      <c r="Q76" s="287">
        <f>T76/W76</f>
        <v>9.0564642824138251E-3</v>
      </c>
      <c r="S76" s="333">
        <f>SUM(S64:S75)</f>
        <v>909</v>
      </c>
      <c r="T76" s="333">
        <f>SUM(T64:T75)</f>
        <v>98</v>
      </c>
      <c r="V76" s="12">
        <f>SUM(V64:V75)</f>
        <v>16159</v>
      </c>
      <c r="W76" s="12">
        <f>SUM(W64:W75)</f>
        <v>10821</v>
      </c>
    </row>
    <row r="77" spans="1:23" ht="12.75" customHeight="1" x14ac:dyDescent="0.3">
      <c r="A77" s="37" t="s">
        <v>108</v>
      </c>
      <c r="B77" s="9">
        <v>16159</v>
      </c>
      <c r="C77" s="9">
        <v>7391</v>
      </c>
      <c r="D77" s="9">
        <v>1000</v>
      </c>
      <c r="E77" s="9">
        <v>1</v>
      </c>
      <c r="F77" s="9">
        <v>124</v>
      </c>
      <c r="G77" s="9">
        <v>7</v>
      </c>
      <c r="H77" s="9">
        <v>82</v>
      </c>
      <c r="I77" s="9">
        <v>1341</v>
      </c>
      <c r="J77" s="9">
        <v>109</v>
      </c>
      <c r="K77" s="9">
        <v>750</v>
      </c>
      <c r="L77" s="9">
        <v>16</v>
      </c>
      <c r="M77" s="30">
        <v>0</v>
      </c>
      <c r="N77" s="9">
        <v>10821</v>
      </c>
      <c r="O77" s="9">
        <v>15828</v>
      </c>
      <c r="P77" s="21"/>
      <c r="Q77" s="156"/>
    </row>
    <row r="78" spans="1:23" ht="12.75" customHeight="1" x14ac:dyDescent="0.3">
      <c r="A78" s="5" t="s">
        <v>23</v>
      </c>
      <c r="B78" s="9">
        <f t="shared" ref="B78:O78" si="24">B76-B77</f>
        <v>909</v>
      </c>
      <c r="C78" s="9">
        <f t="shared" si="24"/>
        <v>408</v>
      </c>
      <c r="D78" s="9">
        <f t="shared" si="24"/>
        <v>-157</v>
      </c>
      <c r="E78" s="9">
        <f t="shared" si="24"/>
        <v>0</v>
      </c>
      <c r="F78" s="9">
        <f t="shared" si="24"/>
        <v>32</v>
      </c>
      <c r="G78" s="9">
        <f t="shared" si="24"/>
        <v>-1</v>
      </c>
      <c r="H78" s="9">
        <f t="shared" si="24"/>
        <v>-16</v>
      </c>
      <c r="I78" s="9">
        <f t="shared" si="24"/>
        <v>-91</v>
      </c>
      <c r="J78" s="9">
        <f t="shared" si="24"/>
        <v>-18</v>
      </c>
      <c r="K78" s="9">
        <f t="shared" si="24"/>
        <v>-56</v>
      </c>
      <c r="L78" s="9">
        <f t="shared" si="24"/>
        <v>-3</v>
      </c>
      <c r="M78" s="30">
        <f t="shared" si="24"/>
        <v>0</v>
      </c>
      <c r="N78" s="9">
        <f t="shared" si="24"/>
        <v>98</v>
      </c>
      <c r="O78" s="9">
        <f t="shared" si="24"/>
        <v>-1347</v>
      </c>
      <c r="P78" s="48"/>
      <c r="Q78" s="155"/>
    </row>
    <row r="79" spans="1:23" ht="12.75" customHeight="1" x14ac:dyDescent="0.25">
      <c r="B79" t="s">
        <v>185</v>
      </c>
    </row>
    <row r="82" spans="1:23" ht="12.75" customHeight="1" x14ac:dyDescent="0.25">
      <c r="B82" s="22" t="s">
        <v>182</v>
      </c>
      <c r="E82" s="367" t="s">
        <v>186</v>
      </c>
    </row>
    <row r="85" spans="1:23" ht="12.75" customHeight="1" x14ac:dyDescent="0.3">
      <c r="A85" s="1" t="s">
        <v>0</v>
      </c>
      <c r="B85" s="2" t="s">
        <v>1</v>
      </c>
      <c r="C85" s="2" t="s">
        <v>2</v>
      </c>
      <c r="D85" s="2" t="s">
        <v>3</v>
      </c>
      <c r="E85" s="2" t="s">
        <v>4</v>
      </c>
      <c r="F85" s="2" t="s">
        <v>5</v>
      </c>
      <c r="G85" s="2" t="s">
        <v>49</v>
      </c>
      <c r="H85" s="2" t="s">
        <v>46</v>
      </c>
      <c r="I85" s="2" t="s">
        <v>48</v>
      </c>
      <c r="J85" s="2" t="s">
        <v>47</v>
      </c>
      <c r="K85" s="2" t="s">
        <v>52</v>
      </c>
      <c r="L85" s="2" t="s">
        <v>6</v>
      </c>
      <c r="M85" s="32" t="s">
        <v>44</v>
      </c>
      <c r="N85" s="1" t="s">
        <v>8</v>
      </c>
      <c r="O85" s="100" t="s">
        <v>10</v>
      </c>
      <c r="P85" s="26" t="s">
        <v>1</v>
      </c>
      <c r="Q85" s="26" t="s">
        <v>9</v>
      </c>
      <c r="S85" s="407" t="s">
        <v>135</v>
      </c>
      <c r="T85" s="407" t="s">
        <v>187</v>
      </c>
      <c r="V85" s="3" t="s">
        <v>129</v>
      </c>
      <c r="W85" s="3" t="s">
        <v>130</v>
      </c>
    </row>
    <row r="86" spans="1:23" ht="12.75" customHeight="1" x14ac:dyDescent="0.3">
      <c r="A86" t="s">
        <v>11</v>
      </c>
      <c r="B86" s="10">
        <v>804</v>
      </c>
      <c r="C86" s="10">
        <v>488</v>
      </c>
      <c r="D86" s="10">
        <v>55</v>
      </c>
      <c r="E86" s="10">
        <v>0</v>
      </c>
      <c r="F86" s="10">
        <v>13</v>
      </c>
      <c r="G86" s="10">
        <v>0</v>
      </c>
      <c r="H86" s="10">
        <v>0</v>
      </c>
      <c r="I86" s="10">
        <v>0</v>
      </c>
      <c r="J86" s="10">
        <v>0</v>
      </c>
      <c r="K86" s="10">
        <v>18</v>
      </c>
      <c r="L86" s="10">
        <v>1</v>
      </c>
      <c r="M86" s="31">
        <v>0</v>
      </c>
      <c r="N86" s="10">
        <f>SUM(C86:L86)</f>
        <v>575</v>
      </c>
      <c r="O86" s="10">
        <v>996</v>
      </c>
      <c r="P86" s="285">
        <f>S86/V86</f>
        <v>0.29260450160771706</v>
      </c>
      <c r="Q86" s="286">
        <f>T86/W86</f>
        <v>0.23655913978494625</v>
      </c>
      <c r="S86" s="12">
        <f>B86-V86</f>
        <v>182</v>
      </c>
      <c r="T86" s="12">
        <f>N86-W86</f>
        <v>110</v>
      </c>
      <c r="V86" s="10">
        <v>622</v>
      </c>
      <c r="W86">
        <v>465</v>
      </c>
    </row>
    <row r="87" spans="1:23" ht="12.75" customHeight="1" x14ac:dyDescent="0.3">
      <c r="A87" t="s">
        <v>12</v>
      </c>
      <c r="B87" s="10">
        <v>742</v>
      </c>
      <c r="C87" s="10">
        <v>436</v>
      </c>
      <c r="D87" s="10">
        <v>58</v>
      </c>
      <c r="E87" s="10">
        <v>0</v>
      </c>
      <c r="F87" s="10">
        <v>14</v>
      </c>
      <c r="G87" s="10">
        <v>0</v>
      </c>
      <c r="H87" s="10">
        <v>0</v>
      </c>
      <c r="I87" s="10">
        <v>1</v>
      </c>
      <c r="J87" s="10">
        <v>2</v>
      </c>
      <c r="K87" s="10">
        <v>30</v>
      </c>
      <c r="L87" s="10">
        <v>3</v>
      </c>
      <c r="M87" s="31">
        <v>0</v>
      </c>
      <c r="N87" s="10">
        <f t="shared" ref="N87:N97" si="25">SUM(C87:L87)</f>
        <v>544</v>
      </c>
      <c r="O87" s="10">
        <v>920</v>
      </c>
      <c r="P87" s="285">
        <f>S87/V87</f>
        <v>0.41603053435114506</v>
      </c>
      <c r="Q87" s="287">
        <f>T87/W87</f>
        <v>0.38775510204081631</v>
      </c>
      <c r="S87" s="12">
        <f t="shared" ref="S87:S97" si="26">B87-V87</f>
        <v>218</v>
      </c>
      <c r="T87" s="12">
        <f t="shared" ref="T87:T97" si="27">N87-W87</f>
        <v>152</v>
      </c>
      <c r="V87" s="10">
        <v>524</v>
      </c>
      <c r="W87">
        <v>392</v>
      </c>
    </row>
    <row r="88" spans="1:23" ht="12.75" customHeight="1" x14ac:dyDescent="0.3">
      <c r="A88" t="s">
        <v>13</v>
      </c>
      <c r="B88" s="10">
        <v>851</v>
      </c>
      <c r="C88" s="10">
        <v>513</v>
      </c>
      <c r="D88" s="10">
        <v>78</v>
      </c>
      <c r="E88" s="10">
        <v>0</v>
      </c>
      <c r="F88" s="10">
        <v>13</v>
      </c>
      <c r="G88" s="10">
        <v>0</v>
      </c>
      <c r="H88" s="10">
        <v>0</v>
      </c>
      <c r="I88" s="10">
        <v>0</v>
      </c>
      <c r="J88" s="10">
        <v>0</v>
      </c>
      <c r="K88" s="10">
        <v>47</v>
      </c>
      <c r="L88" s="10">
        <v>2</v>
      </c>
      <c r="M88" s="31">
        <v>0</v>
      </c>
      <c r="N88" s="10">
        <f t="shared" si="25"/>
        <v>653</v>
      </c>
      <c r="O88" s="10">
        <v>653</v>
      </c>
      <c r="P88" s="285">
        <f t="shared" ref="P88:Q97" si="28">S88/V88</f>
        <v>0.25331369661266567</v>
      </c>
      <c r="Q88" s="287">
        <f t="shared" si="28"/>
        <v>0.29563492063492064</v>
      </c>
      <c r="S88" s="12">
        <f t="shared" si="26"/>
        <v>172</v>
      </c>
      <c r="T88" s="12">
        <f t="shared" si="27"/>
        <v>149</v>
      </c>
      <c r="V88" s="10">
        <v>679</v>
      </c>
      <c r="W88">
        <v>504</v>
      </c>
    </row>
    <row r="89" spans="1:23" ht="12.75" customHeight="1" x14ac:dyDescent="0.3">
      <c r="A89" t="s">
        <v>14</v>
      </c>
      <c r="B89" s="16">
        <v>1007</v>
      </c>
      <c r="C89" s="16">
        <v>537</v>
      </c>
      <c r="D89" s="16">
        <v>80</v>
      </c>
      <c r="E89" s="16">
        <v>0</v>
      </c>
      <c r="F89" s="16">
        <v>4</v>
      </c>
      <c r="G89" s="16">
        <v>0</v>
      </c>
      <c r="H89" s="16">
        <v>3</v>
      </c>
      <c r="I89" s="16">
        <v>2</v>
      </c>
      <c r="J89" s="16">
        <v>4</v>
      </c>
      <c r="K89" s="16">
        <v>73</v>
      </c>
      <c r="L89" s="16">
        <v>3</v>
      </c>
      <c r="M89" s="31">
        <v>0</v>
      </c>
      <c r="N89" s="10">
        <f t="shared" si="25"/>
        <v>706</v>
      </c>
      <c r="O89" s="10">
        <v>1227</v>
      </c>
      <c r="P89" s="285">
        <f t="shared" si="28"/>
        <v>0.97450980392156861</v>
      </c>
      <c r="Q89" s="287">
        <f t="shared" si="28"/>
        <v>0.84816753926701571</v>
      </c>
      <c r="S89" s="12">
        <f t="shared" si="26"/>
        <v>497</v>
      </c>
      <c r="T89" s="12">
        <f t="shared" si="27"/>
        <v>324</v>
      </c>
      <c r="V89" s="16">
        <v>510</v>
      </c>
      <c r="W89">
        <v>382</v>
      </c>
    </row>
    <row r="90" spans="1:23" ht="12.75" customHeight="1" x14ac:dyDescent="0.3">
      <c r="A90" t="s">
        <v>15</v>
      </c>
      <c r="B90" s="10">
        <v>1315</v>
      </c>
      <c r="C90" s="10">
        <v>682</v>
      </c>
      <c r="D90" s="10">
        <v>75</v>
      </c>
      <c r="E90" s="10">
        <v>0</v>
      </c>
      <c r="F90" s="10">
        <v>13</v>
      </c>
      <c r="G90" s="10">
        <v>0</v>
      </c>
      <c r="H90" s="10">
        <v>2</v>
      </c>
      <c r="I90" s="10">
        <v>10</v>
      </c>
      <c r="J90" s="10">
        <v>4</v>
      </c>
      <c r="K90" s="10">
        <v>93</v>
      </c>
      <c r="L90" s="10">
        <v>1</v>
      </c>
      <c r="M90" s="31">
        <v>0</v>
      </c>
      <c r="N90" s="10">
        <f t="shared" si="25"/>
        <v>880</v>
      </c>
      <c r="O90" s="10">
        <v>1221</v>
      </c>
      <c r="P90" s="285">
        <f t="shared" si="28"/>
        <v>7.4346405228758169E-2</v>
      </c>
      <c r="Q90" s="287">
        <f t="shared" si="28"/>
        <v>1.8518518518518517E-2</v>
      </c>
      <c r="S90" s="12">
        <f t="shared" si="26"/>
        <v>91</v>
      </c>
      <c r="T90" s="12">
        <f t="shared" si="27"/>
        <v>16</v>
      </c>
      <c r="V90" s="10">
        <v>1224</v>
      </c>
      <c r="W90">
        <v>864</v>
      </c>
    </row>
    <row r="91" spans="1:23" ht="12.75" customHeight="1" x14ac:dyDescent="0.3">
      <c r="A91" t="s">
        <v>16</v>
      </c>
      <c r="B91" s="10">
        <v>2328</v>
      </c>
      <c r="C91" s="10">
        <v>986</v>
      </c>
      <c r="D91" s="10">
        <v>80</v>
      </c>
      <c r="E91" s="10">
        <v>0</v>
      </c>
      <c r="F91" s="10">
        <v>18</v>
      </c>
      <c r="G91" s="10">
        <v>5</v>
      </c>
      <c r="H91" s="10">
        <v>16</v>
      </c>
      <c r="I91" s="10">
        <v>159</v>
      </c>
      <c r="J91" s="10">
        <v>14</v>
      </c>
      <c r="K91" s="10">
        <v>107</v>
      </c>
      <c r="L91" s="10">
        <v>2</v>
      </c>
      <c r="M91" s="31">
        <v>0</v>
      </c>
      <c r="N91" s="10">
        <f t="shared" si="25"/>
        <v>1387</v>
      </c>
      <c r="O91" s="10">
        <v>1529</v>
      </c>
      <c r="P91" s="285">
        <f t="shared" si="28"/>
        <v>-8.129439621152329E-2</v>
      </c>
      <c r="Q91" s="287">
        <f t="shared" si="28"/>
        <v>-4.0138408304498267E-2</v>
      </c>
      <c r="S91" s="12">
        <f t="shared" si="26"/>
        <v>-206</v>
      </c>
      <c r="T91" s="12">
        <f t="shared" si="27"/>
        <v>-58</v>
      </c>
      <c r="V91" s="10">
        <v>2534</v>
      </c>
      <c r="W91">
        <v>1445</v>
      </c>
    </row>
    <row r="92" spans="1:23" ht="12.75" customHeight="1" x14ac:dyDescent="0.3">
      <c r="A92" t="s">
        <v>17</v>
      </c>
      <c r="B92" s="10">
        <v>3913</v>
      </c>
      <c r="C92" s="10">
        <v>1416</v>
      </c>
      <c r="D92" s="10">
        <v>94</v>
      </c>
      <c r="E92" s="10">
        <v>1</v>
      </c>
      <c r="F92" s="10">
        <v>13</v>
      </c>
      <c r="G92" s="10">
        <v>9</v>
      </c>
      <c r="H92" s="10">
        <v>49</v>
      </c>
      <c r="I92" s="10">
        <v>511</v>
      </c>
      <c r="J92" s="10">
        <v>15</v>
      </c>
      <c r="K92" s="10">
        <v>145</v>
      </c>
      <c r="L92" s="10">
        <v>1</v>
      </c>
      <c r="M92" s="31">
        <v>0</v>
      </c>
      <c r="N92" s="10">
        <f t="shared" si="25"/>
        <v>2254</v>
      </c>
      <c r="O92" s="10">
        <v>2254</v>
      </c>
      <c r="P92" s="285">
        <f t="shared" si="28"/>
        <v>-7.47221565381887E-2</v>
      </c>
      <c r="Q92" s="287">
        <f t="shared" si="28"/>
        <v>-8.1499592502037491E-2</v>
      </c>
      <c r="S92" s="12">
        <f t="shared" si="26"/>
        <v>-316</v>
      </c>
      <c r="T92" s="12">
        <f t="shared" si="27"/>
        <v>-200</v>
      </c>
      <c r="V92" s="10">
        <v>4229</v>
      </c>
      <c r="W92">
        <v>2454</v>
      </c>
    </row>
    <row r="93" spans="1:23" ht="12.75" customHeight="1" x14ac:dyDescent="0.3">
      <c r="A93" t="s">
        <v>18</v>
      </c>
      <c r="B93" s="10"/>
      <c r="C93" s="10"/>
      <c r="D93" s="10"/>
      <c r="E93" s="10"/>
      <c r="F93" s="10"/>
      <c r="G93" s="10"/>
      <c r="H93" s="10"/>
      <c r="I93" s="10"/>
      <c r="J93" s="10"/>
      <c r="K93" s="10"/>
      <c r="L93" s="10"/>
      <c r="M93" s="31">
        <v>0</v>
      </c>
      <c r="N93" s="10">
        <f t="shared" si="25"/>
        <v>0</v>
      </c>
      <c r="O93" s="10"/>
      <c r="P93" s="285">
        <f t="shared" si="28"/>
        <v>-1</v>
      </c>
      <c r="Q93" s="287">
        <f t="shared" si="28"/>
        <v>-1</v>
      </c>
      <c r="S93" s="12">
        <f t="shared" si="26"/>
        <v>-2534</v>
      </c>
      <c r="T93" s="12">
        <f t="shared" si="27"/>
        <v>-1536</v>
      </c>
      <c r="V93" s="10">
        <v>2534</v>
      </c>
      <c r="W93">
        <v>1536</v>
      </c>
    </row>
    <row r="94" spans="1:23" ht="12.75" customHeight="1" x14ac:dyDescent="0.3">
      <c r="A94" t="s">
        <v>19</v>
      </c>
      <c r="B94" s="10"/>
      <c r="C94" s="10"/>
      <c r="D94" s="10"/>
      <c r="E94" s="10"/>
      <c r="F94" s="10"/>
      <c r="G94" s="10"/>
      <c r="H94" s="10"/>
      <c r="I94" s="10"/>
      <c r="J94" s="10"/>
      <c r="K94" s="10"/>
      <c r="L94" s="10"/>
      <c r="M94" s="31">
        <v>0</v>
      </c>
      <c r="N94" s="10">
        <f t="shared" si="25"/>
        <v>0</v>
      </c>
      <c r="O94" s="10"/>
      <c r="P94" s="285">
        <f t="shared" si="28"/>
        <v>-1</v>
      </c>
      <c r="Q94" s="287">
        <f t="shared" si="28"/>
        <v>-1</v>
      </c>
      <c r="S94" s="12">
        <f t="shared" si="26"/>
        <v>-1321</v>
      </c>
      <c r="T94" s="12">
        <f t="shared" si="27"/>
        <v>-912</v>
      </c>
      <c r="V94" s="10">
        <v>1321</v>
      </c>
      <c r="W94">
        <v>912</v>
      </c>
    </row>
    <row r="95" spans="1:23" ht="12.75" customHeight="1" x14ac:dyDescent="0.3">
      <c r="A95" t="s">
        <v>20</v>
      </c>
      <c r="B95" s="10"/>
      <c r="C95" s="10"/>
      <c r="D95" s="10"/>
      <c r="E95" s="10"/>
      <c r="F95" s="10"/>
      <c r="G95" s="10"/>
      <c r="H95" s="10"/>
      <c r="I95" s="10"/>
      <c r="J95" s="10"/>
      <c r="K95" s="10"/>
      <c r="L95" s="10"/>
      <c r="M95" s="31">
        <v>0</v>
      </c>
      <c r="N95" s="10">
        <f t="shared" si="25"/>
        <v>0</v>
      </c>
      <c r="O95" s="10"/>
      <c r="P95" s="285">
        <f t="shared" si="28"/>
        <v>-1</v>
      </c>
      <c r="Q95" s="287">
        <f t="shared" si="28"/>
        <v>-1</v>
      </c>
      <c r="S95" s="12">
        <f t="shared" si="26"/>
        <v>-1144</v>
      </c>
      <c r="T95" s="12">
        <f t="shared" si="27"/>
        <v>-777</v>
      </c>
      <c r="V95" s="10">
        <v>1144</v>
      </c>
      <c r="W95">
        <v>777</v>
      </c>
    </row>
    <row r="96" spans="1:23" ht="12.75" customHeight="1" x14ac:dyDescent="0.3">
      <c r="A96" t="s">
        <v>21</v>
      </c>
      <c r="B96" s="10"/>
      <c r="C96" s="10"/>
      <c r="D96" s="10"/>
      <c r="E96" s="10"/>
      <c r="F96" s="10"/>
      <c r="G96" s="10"/>
      <c r="H96" s="10"/>
      <c r="I96" s="10"/>
      <c r="J96" s="10"/>
      <c r="K96" s="10"/>
      <c r="L96" s="10"/>
      <c r="M96" s="31">
        <v>0</v>
      </c>
      <c r="N96" s="10">
        <f t="shared" si="25"/>
        <v>0</v>
      </c>
      <c r="O96" s="10"/>
      <c r="P96" s="285">
        <f t="shared" si="28"/>
        <v>-1</v>
      </c>
      <c r="Q96" s="287">
        <f t="shared" si="28"/>
        <v>-1</v>
      </c>
      <c r="S96" s="12">
        <f t="shared" si="26"/>
        <v>-1035</v>
      </c>
      <c r="T96" s="12">
        <f t="shared" si="27"/>
        <v>-699</v>
      </c>
      <c r="V96" s="10">
        <v>1035</v>
      </c>
      <c r="W96">
        <v>699</v>
      </c>
    </row>
    <row r="97" spans="1:23" ht="12.75" customHeight="1" x14ac:dyDescent="0.3">
      <c r="A97" s="4" t="s">
        <v>22</v>
      </c>
      <c r="B97" s="11"/>
      <c r="C97" s="11"/>
      <c r="D97" s="11"/>
      <c r="E97" s="11"/>
      <c r="F97" s="11"/>
      <c r="G97" s="11"/>
      <c r="H97" s="11"/>
      <c r="I97" s="11"/>
      <c r="J97" s="11"/>
      <c r="K97" s="11"/>
      <c r="L97" s="11"/>
      <c r="M97" s="30">
        <v>0</v>
      </c>
      <c r="N97" s="11">
        <f t="shared" si="25"/>
        <v>0</v>
      </c>
      <c r="O97" s="11"/>
      <c r="P97" s="288">
        <f t="shared" si="28"/>
        <v>-1</v>
      </c>
      <c r="Q97" s="289">
        <f t="shared" si="28"/>
        <v>-1</v>
      </c>
      <c r="S97" s="12">
        <f t="shared" si="26"/>
        <v>-712</v>
      </c>
      <c r="T97" s="12">
        <f t="shared" si="27"/>
        <v>-489</v>
      </c>
      <c r="V97" s="11">
        <v>712</v>
      </c>
      <c r="W97">
        <v>489</v>
      </c>
    </row>
    <row r="98" spans="1:23" ht="12.75" customHeight="1" x14ac:dyDescent="0.3">
      <c r="A98" s="36" t="s">
        <v>184</v>
      </c>
      <c r="B98" s="8">
        <f>SUM(B86:B97)</f>
        <v>10960</v>
      </c>
      <c r="C98" s="8">
        <f t="shared" ref="C98:O98" si="29">SUM(C86:C97)</f>
        <v>5058</v>
      </c>
      <c r="D98" s="8">
        <f t="shared" si="29"/>
        <v>520</v>
      </c>
      <c r="E98" s="8">
        <f t="shared" si="29"/>
        <v>1</v>
      </c>
      <c r="F98" s="8">
        <f t="shared" si="29"/>
        <v>88</v>
      </c>
      <c r="G98" s="8">
        <f t="shared" si="29"/>
        <v>14</v>
      </c>
      <c r="H98" s="8">
        <f t="shared" si="29"/>
        <v>70</v>
      </c>
      <c r="I98" s="8">
        <f t="shared" si="29"/>
        <v>683</v>
      </c>
      <c r="J98" s="8">
        <f t="shared" si="29"/>
        <v>39</v>
      </c>
      <c r="K98" s="8">
        <f t="shared" si="29"/>
        <v>513</v>
      </c>
      <c r="L98" s="8">
        <f t="shared" si="29"/>
        <v>13</v>
      </c>
      <c r="M98" s="31">
        <f t="shared" si="29"/>
        <v>0</v>
      </c>
      <c r="N98" s="8">
        <f t="shared" si="29"/>
        <v>6999</v>
      </c>
      <c r="O98" s="8">
        <f t="shared" si="29"/>
        <v>8800</v>
      </c>
      <c r="P98" s="285"/>
      <c r="Q98" s="287"/>
    </row>
    <row r="99" spans="1:23" ht="12.75" customHeight="1" x14ac:dyDescent="0.3">
      <c r="A99" s="37" t="s">
        <v>188</v>
      </c>
      <c r="B99" s="9">
        <v>16159</v>
      </c>
      <c r="C99" s="9">
        <v>7391</v>
      </c>
      <c r="D99" s="9">
        <v>1000</v>
      </c>
      <c r="E99" s="9">
        <v>1</v>
      </c>
      <c r="F99" s="9">
        <v>124</v>
      </c>
      <c r="G99" s="9">
        <v>7</v>
      </c>
      <c r="H99" s="9">
        <v>82</v>
      </c>
      <c r="I99" s="9">
        <v>1341</v>
      </c>
      <c r="J99" s="9">
        <v>109</v>
      </c>
      <c r="K99" s="9">
        <v>750</v>
      </c>
      <c r="L99" s="9">
        <v>16</v>
      </c>
      <c r="M99" s="30">
        <v>0</v>
      </c>
      <c r="N99" s="9">
        <v>10821</v>
      </c>
      <c r="O99" s="9">
        <v>15828</v>
      </c>
      <c r="P99" s="21"/>
      <c r="Q99" s="156"/>
    </row>
    <row r="100" spans="1:23" ht="12.75" customHeight="1" x14ac:dyDescent="0.3">
      <c r="A100" s="5" t="s">
        <v>23</v>
      </c>
      <c r="B100" s="9">
        <f t="shared" ref="B100:O100" si="30">B98-B99</f>
        <v>-5199</v>
      </c>
      <c r="C100" s="9">
        <f t="shared" si="30"/>
        <v>-2333</v>
      </c>
      <c r="D100" s="9">
        <f t="shared" si="30"/>
        <v>-480</v>
      </c>
      <c r="E100" s="9">
        <f t="shared" si="30"/>
        <v>0</v>
      </c>
      <c r="F100" s="9">
        <f t="shared" si="30"/>
        <v>-36</v>
      </c>
      <c r="G100" s="9">
        <f t="shared" si="30"/>
        <v>7</v>
      </c>
      <c r="H100" s="9">
        <f t="shared" si="30"/>
        <v>-12</v>
      </c>
      <c r="I100" s="9">
        <f t="shared" si="30"/>
        <v>-658</v>
      </c>
      <c r="J100" s="9">
        <f t="shared" si="30"/>
        <v>-70</v>
      </c>
      <c r="K100" s="9">
        <f t="shared" si="30"/>
        <v>-237</v>
      </c>
      <c r="L100" s="9">
        <f t="shared" si="30"/>
        <v>-3</v>
      </c>
      <c r="M100" s="30">
        <f t="shared" si="30"/>
        <v>0</v>
      </c>
      <c r="N100" s="9">
        <f t="shared" si="30"/>
        <v>-3822</v>
      </c>
      <c r="O100" s="9">
        <f t="shared" si="30"/>
        <v>-7028</v>
      </c>
      <c r="P100" s="48"/>
      <c r="Q100" s="155"/>
    </row>
  </sheetData>
  <mergeCells count="1">
    <mergeCell ref="A29:V34"/>
  </mergeCells>
  <phoneticPr fontId="4" type="noConversion"/>
  <printOptions headings="1" gridLines="1" gridLinesSet="0"/>
  <pageMargins left="0.59055118110236227" right="0.78740157480314965" top="0.78740157480314965" bottom="0.78740157480314965" header="0.51181102362204722" footer="0.51181102362204722"/>
  <pageSetup paperSize="9" scale="1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D8061-F180-4675-9A5F-5FEA41240B6D}">
  <dimension ref="A3:R48"/>
  <sheetViews>
    <sheetView topLeftCell="A21" workbookViewId="0">
      <selection activeCell="N57" sqref="N57"/>
    </sheetView>
  </sheetViews>
  <sheetFormatPr defaultRowHeight="12.5" x14ac:dyDescent="0.25"/>
  <sheetData>
    <row r="3" spans="1:18" ht="14.9" customHeight="1" x14ac:dyDescent="0.25"/>
    <row r="4" spans="1:18" ht="14.9" customHeight="1" x14ac:dyDescent="0.25"/>
    <row r="5" spans="1:18" ht="14.9" customHeight="1" x14ac:dyDescent="0.25"/>
    <row r="6" spans="1:18" ht="14.9" customHeight="1" x14ac:dyDescent="0.25"/>
    <row r="7" spans="1:18" ht="14.9" customHeight="1" x14ac:dyDescent="0.3">
      <c r="A7" s="1" t="s">
        <v>0</v>
      </c>
      <c r="B7" s="2" t="s">
        <v>1</v>
      </c>
      <c r="C7" s="2" t="s">
        <v>2</v>
      </c>
      <c r="D7" s="2" t="s">
        <v>3</v>
      </c>
      <c r="E7" s="2" t="s">
        <v>4</v>
      </c>
      <c r="F7" s="2" t="s">
        <v>5</v>
      </c>
      <c r="G7" s="2" t="s">
        <v>6</v>
      </c>
      <c r="H7" s="32" t="s">
        <v>44</v>
      </c>
      <c r="I7" s="1" t="s">
        <v>8</v>
      </c>
      <c r="J7" s="2" t="s">
        <v>10</v>
      </c>
      <c r="K7" s="2" t="s">
        <v>1</v>
      </c>
      <c r="L7" s="2" t="s">
        <v>9</v>
      </c>
      <c r="N7" s="3" t="s">
        <v>87</v>
      </c>
      <c r="O7" s="3" t="s">
        <v>88</v>
      </c>
      <c r="Q7" s="3" t="s">
        <v>87</v>
      </c>
      <c r="R7" s="3" t="s">
        <v>88</v>
      </c>
    </row>
    <row r="8" spans="1:18" ht="14.9" customHeight="1" x14ac:dyDescent="0.3">
      <c r="A8" t="s">
        <v>11</v>
      </c>
      <c r="B8" s="10">
        <v>17193</v>
      </c>
      <c r="C8" s="10">
        <v>10400</v>
      </c>
      <c r="D8" s="10">
        <v>626</v>
      </c>
      <c r="E8" s="10">
        <v>283</v>
      </c>
      <c r="F8" s="10">
        <v>67</v>
      </c>
      <c r="G8" s="10">
        <v>3</v>
      </c>
      <c r="H8" s="31">
        <v>0</v>
      </c>
      <c r="I8" s="10">
        <f>SUM(C8:G8)</f>
        <v>11379</v>
      </c>
      <c r="J8" s="10">
        <v>10192</v>
      </c>
      <c r="K8" s="285">
        <v>-3.9443544332085592E-2</v>
      </c>
      <c r="L8" s="286">
        <v>-2.8266438941076003E-2</v>
      </c>
      <c r="M8" s="22"/>
      <c r="N8" s="143">
        <v>-706</v>
      </c>
      <c r="O8" s="143">
        <v>-331</v>
      </c>
      <c r="Q8" s="12">
        <v>17899</v>
      </c>
      <c r="R8" s="12">
        <v>11710</v>
      </c>
    </row>
    <row r="9" spans="1:18" ht="14.9" customHeight="1" x14ac:dyDescent="0.3">
      <c r="A9" t="s">
        <v>12</v>
      </c>
      <c r="B9" s="10">
        <v>15770</v>
      </c>
      <c r="C9" s="10">
        <v>9871</v>
      </c>
      <c r="D9" s="10">
        <v>413</v>
      </c>
      <c r="E9" s="10">
        <v>264</v>
      </c>
      <c r="F9" s="10">
        <v>49</v>
      </c>
      <c r="G9" s="10">
        <v>5</v>
      </c>
      <c r="H9" s="31">
        <v>0</v>
      </c>
      <c r="I9" s="10">
        <f t="shared" ref="I9:I19" si="0">SUM(C9:G9)</f>
        <v>10602</v>
      </c>
      <c r="J9" s="10">
        <v>7690</v>
      </c>
      <c r="K9" s="285">
        <v>-4.977102916365389E-2</v>
      </c>
      <c r="L9" s="287">
        <v>-7.6561275150248242E-2</v>
      </c>
      <c r="M9" s="22"/>
      <c r="N9" s="143">
        <v>-826</v>
      </c>
      <c r="O9" s="143">
        <v>-879</v>
      </c>
      <c r="Q9" s="12">
        <v>16596</v>
      </c>
      <c r="R9" s="12">
        <v>11481</v>
      </c>
    </row>
    <row r="10" spans="1:18" ht="14.9" customHeight="1" x14ac:dyDescent="0.3">
      <c r="A10" t="s">
        <v>13</v>
      </c>
      <c r="B10" s="10">
        <v>20725</v>
      </c>
      <c r="C10" s="10">
        <v>12689</v>
      </c>
      <c r="D10" s="10">
        <v>635</v>
      </c>
      <c r="E10" s="10">
        <v>307</v>
      </c>
      <c r="F10" s="10">
        <v>58</v>
      </c>
      <c r="G10" s="10">
        <v>38</v>
      </c>
      <c r="H10" s="31">
        <v>0</v>
      </c>
      <c r="I10" s="10">
        <f t="shared" si="0"/>
        <v>13727</v>
      </c>
      <c r="J10" s="10">
        <v>10498</v>
      </c>
      <c r="K10" s="285">
        <v>-4.9486332782975602E-2</v>
      </c>
      <c r="L10" s="287">
        <v>-3.3037475345167655E-2</v>
      </c>
      <c r="M10" s="22"/>
      <c r="N10" s="143">
        <v>-1079</v>
      </c>
      <c r="O10" s="143">
        <v>-469</v>
      </c>
      <c r="Q10" s="12">
        <v>21804</v>
      </c>
      <c r="R10" s="12">
        <v>14196</v>
      </c>
    </row>
    <row r="11" spans="1:18" ht="14.9" customHeight="1" x14ac:dyDescent="0.3">
      <c r="A11" t="s">
        <v>14</v>
      </c>
      <c r="B11" s="10">
        <v>25099</v>
      </c>
      <c r="C11" s="10">
        <v>15214</v>
      </c>
      <c r="D11" s="10">
        <v>733</v>
      </c>
      <c r="E11" s="10">
        <v>265</v>
      </c>
      <c r="F11" s="10">
        <v>51</v>
      </c>
      <c r="G11" s="10">
        <v>62</v>
      </c>
      <c r="H11" s="31">
        <v>0</v>
      </c>
      <c r="I11" s="10">
        <f t="shared" si="0"/>
        <v>16325</v>
      </c>
      <c r="J11" s="10">
        <v>10918</v>
      </c>
      <c r="K11" s="285">
        <v>7.6932978632111904E-2</v>
      </c>
      <c r="L11" s="287">
        <v>5.1055884625289726E-2</v>
      </c>
      <c r="M11" s="22"/>
      <c r="N11" s="143">
        <v>1793</v>
      </c>
      <c r="O11" s="143">
        <v>793</v>
      </c>
      <c r="Q11" s="12">
        <v>23306</v>
      </c>
      <c r="R11" s="12">
        <v>15532</v>
      </c>
    </row>
    <row r="12" spans="1:18" ht="14.9" customHeight="1" x14ac:dyDescent="0.3">
      <c r="A12" t="s">
        <v>15</v>
      </c>
      <c r="B12" s="10">
        <v>31102</v>
      </c>
      <c r="C12" s="10">
        <v>18238</v>
      </c>
      <c r="D12" s="10">
        <v>882</v>
      </c>
      <c r="E12" s="10">
        <v>329</v>
      </c>
      <c r="F12" s="10">
        <v>62</v>
      </c>
      <c r="G12" s="10">
        <v>352</v>
      </c>
      <c r="H12" s="31">
        <v>0</v>
      </c>
      <c r="I12" s="10">
        <f t="shared" si="0"/>
        <v>19863</v>
      </c>
      <c r="J12" s="10">
        <v>13264</v>
      </c>
      <c r="K12" s="285">
        <v>6.8304684212230097E-3</v>
      </c>
      <c r="L12" s="287">
        <v>5.4160761287710066E-3</v>
      </c>
      <c r="M12" s="22"/>
      <c r="N12" s="143">
        <v>211</v>
      </c>
      <c r="O12" s="143">
        <v>107</v>
      </c>
      <c r="Q12" s="12">
        <v>30891</v>
      </c>
      <c r="R12" s="12">
        <v>19756</v>
      </c>
    </row>
    <row r="13" spans="1:18" ht="14.9" customHeight="1" x14ac:dyDescent="0.3">
      <c r="A13" t="s">
        <v>16</v>
      </c>
      <c r="B13" s="10">
        <v>38230</v>
      </c>
      <c r="C13" s="10">
        <v>20050</v>
      </c>
      <c r="D13" s="10">
        <v>918</v>
      </c>
      <c r="E13" s="10">
        <v>293</v>
      </c>
      <c r="F13" s="10">
        <v>61</v>
      </c>
      <c r="G13" s="10">
        <v>1249</v>
      </c>
      <c r="H13" s="31">
        <v>0</v>
      </c>
      <c r="I13" s="10">
        <f t="shared" si="0"/>
        <v>22571</v>
      </c>
      <c r="J13" s="10">
        <v>13184</v>
      </c>
      <c r="K13" s="285">
        <v>0.12421337411045109</v>
      </c>
      <c r="L13" s="287">
        <v>1.5750866297646372E-2</v>
      </c>
      <c r="M13" s="22"/>
      <c r="N13" s="143">
        <v>4224</v>
      </c>
      <c r="O13" s="143">
        <v>350</v>
      </c>
      <c r="Q13" s="12">
        <v>34006</v>
      </c>
      <c r="R13" s="12">
        <v>22221</v>
      </c>
    </row>
    <row r="14" spans="1:18" ht="14.9" customHeight="1" x14ac:dyDescent="0.3">
      <c r="A14" t="s">
        <v>17</v>
      </c>
      <c r="B14" s="10">
        <v>45870</v>
      </c>
      <c r="C14" s="10">
        <v>28325</v>
      </c>
      <c r="D14" s="10">
        <v>804</v>
      </c>
      <c r="E14" s="10">
        <v>261</v>
      </c>
      <c r="F14" s="10">
        <v>31</v>
      </c>
      <c r="G14" s="10">
        <v>2477</v>
      </c>
      <c r="H14" s="31">
        <v>0</v>
      </c>
      <c r="I14" s="10">
        <f t="shared" si="0"/>
        <v>31898</v>
      </c>
      <c r="J14" s="10">
        <v>11420</v>
      </c>
      <c r="K14" s="285">
        <v>-0.15652237872825567</v>
      </c>
      <c r="L14" s="287">
        <v>-2.744069760351241E-2</v>
      </c>
      <c r="M14" s="22"/>
      <c r="N14" s="143">
        <v>-8512</v>
      </c>
      <c r="O14" s="143">
        <v>-900</v>
      </c>
      <c r="Q14" s="12">
        <v>54382</v>
      </c>
      <c r="R14" s="12">
        <v>32798</v>
      </c>
    </row>
    <row r="15" spans="1:18" ht="14.9" customHeight="1" x14ac:dyDescent="0.3">
      <c r="A15" t="s">
        <v>18</v>
      </c>
      <c r="B15" s="10">
        <v>38482</v>
      </c>
      <c r="C15" s="10">
        <v>21553</v>
      </c>
      <c r="D15" s="10">
        <v>980</v>
      </c>
      <c r="E15" s="10">
        <v>308</v>
      </c>
      <c r="F15" s="10">
        <v>37</v>
      </c>
      <c r="G15" s="10">
        <v>1506</v>
      </c>
      <c r="H15" s="31">
        <v>0</v>
      </c>
      <c r="I15" s="10">
        <f t="shared" si="0"/>
        <v>24384</v>
      </c>
      <c r="J15" s="10">
        <v>13792</v>
      </c>
      <c r="K15" s="285">
        <v>-0.14150585610708311</v>
      </c>
      <c r="L15" s="287">
        <v>-6.334268044405178E-2</v>
      </c>
      <c r="M15" s="22"/>
      <c r="N15" s="143">
        <v>-6343</v>
      </c>
      <c r="O15" s="143">
        <v>-1649</v>
      </c>
      <c r="Q15" s="12">
        <v>44825</v>
      </c>
      <c r="R15" s="12">
        <v>26033</v>
      </c>
    </row>
    <row r="16" spans="1:18" ht="14.9" customHeight="1" x14ac:dyDescent="0.3">
      <c r="A16" t="s">
        <v>19</v>
      </c>
      <c r="B16" s="10">
        <v>27384</v>
      </c>
      <c r="C16" s="10">
        <v>16253</v>
      </c>
      <c r="D16" s="10">
        <v>1044</v>
      </c>
      <c r="E16" s="10">
        <v>298</v>
      </c>
      <c r="F16" s="10">
        <v>96</v>
      </c>
      <c r="G16" s="10">
        <v>265</v>
      </c>
      <c r="H16" s="31">
        <v>0</v>
      </c>
      <c r="I16" s="10">
        <f t="shared" si="0"/>
        <v>17956</v>
      </c>
      <c r="J16" s="10">
        <v>14784</v>
      </c>
      <c r="K16" s="285">
        <v>-4.0302796663629355E-2</v>
      </c>
      <c r="L16" s="287">
        <v>-1.7789637536135201E-3</v>
      </c>
      <c r="M16" s="22"/>
      <c r="N16" s="143">
        <v>-1150</v>
      </c>
      <c r="O16" s="143">
        <v>-32</v>
      </c>
      <c r="Q16" s="12">
        <v>28534</v>
      </c>
      <c r="R16" s="12">
        <v>17988</v>
      </c>
    </row>
    <row r="17" spans="1:18" ht="14.9" customHeight="1" x14ac:dyDescent="0.3">
      <c r="A17" t="s">
        <v>20</v>
      </c>
      <c r="B17" s="10">
        <v>22987</v>
      </c>
      <c r="C17" s="10">
        <v>15035</v>
      </c>
      <c r="D17" s="10">
        <v>1039</v>
      </c>
      <c r="E17" s="10">
        <v>304</v>
      </c>
      <c r="F17" s="10">
        <v>65</v>
      </c>
      <c r="G17" s="10">
        <v>51</v>
      </c>
      <c r="H17" s="31">
        <v>0</v>
      </c>
      <c r="I17" s="10">
        <f t="shared" si="0"/>
        <v>16494</v>
      </c>
      <c r="J17" s="10">
        <v>14558</v>
      </c>
      <c r="K17" s="285">
        <v>-6.3093539841043406E-2</v>
      </c>
      <c r="L17" s="287">
        <v>2.1743170414421111E-2</v>
      </c>
      <c r="M17" s="22"/>
      <c r="N17" s="143">
        <v>-1548</v>
      </c>
      <c r="O17" s="143">
        <v>351</v>
      </c>
      <c r="Q17" s="12">
        <v>24535</v>
      </c>
      <c r="R17" s="12">
        <v>16143</v>
      </c>
    </row>
    <row r="18" spans="1:18" ht="14.9" customHeight="1" x14ac:dyDescent="0.3">
      <c r="A18" t="s">
        <v>21</v>
      </c>
      <c r="B18" s="10">
        <v>19195</v>
      </c>
      <c r="C18" s="10">
        <v>12603</v>
      </c>
      <c r="D18" s="10">
        <v>807</v>
      </c>
      <c r="E18" s="10">
        <v>291</v>
      </c>
      <c r="F18" s="10">
        <v>75</v>
      </c>
      <c r="G18" s="10">
        <v>27</v>
      </c>
      <c r="H18" s="31">
        <v>0</v>
      </c>
      <c r="I18" s="10">
        <f t="shared" si="0"/>
        <v>13803</v>
      </c>
      <c r="J18" s="10">
        <v>12162</v>
      </c>
      <c r="K18" s="285">
        <v>-0.10106308247084719</v>
      </c>
      <c r="L18" s="287">
        <v>-6.3350370743646967E-3</v>
      </c>
      <c r="M18" s="22"/>
      <c r="N18" s="143">
        <v>-2158</v>
      </c>
      <c r="O18" s="143">
        <v>-88</v>
      </c>
      <c r="Q18" s="12">
        <v>21353</v>
      </c>
      <c r="R18" s="12">
        <v>13891</v>
      </c>
    </row>
    <row r="19" spans="1:18" ht="14.9" customHeight="1" x14ac:dyDescent="0.3">
      <c r="A19" s="297" t="s">
        <v>22</v>
      </c>
      <c r="B19" s="11">
        <v>18734</v>
      </c>
      <c r="C19" s="11">
        <v>11940</v>
      </c>
      <c r="D19" s="11">
        <v>684</v>
      </c>
      <c r="E19" s="11">
        <v>256</v>
      </c>
      <c r="F19" s="11">
        <v>48</v>
      </c>
      <c r="G19" s="11">
        <v>7</v>
      </c>
      <c r="H19" s="30">
        <v>0</v>
      </c>
      <c r="I19" s="11">
        <f t="shared" si="0"/>
        <v>12935</v>
      </c>
      <c r="J19" s="11">
        <v>10296</v>
      </c>
      <c r="K19" s="288">
        <v>1.4732965009208104E-2</v>
      </c>
      <c r="L19" s="289">
        <v>5.6004571801779736E-2</v>
      </c>
      <c r="M19" s="22"/>
      <c r="N19" s="169">
        <v>272</v>
      </c>
      <c r="O19" s="169">
        <v>686</v>
      </c>
      <c r="Q19" s="20">
        <v>18462</v>
      </c>
      <c r="R19" s="12">
        <v>12249</v>
      </c>
    </row>
    <row r="20" spans="1:18" ht="14.9" customHeight="1" x14ac:dyDescent="0.3">
      <c r="A20" s="36" t="s">
        <v>96</v>
      </c>
      <c r="B20" s="8">
        <f t="shared" ref="B20:J20" si="1">SUM(B8:B19)</f>
        <v>320771</v>
      </c>
      <c r="C20" s="8">
        <f t="shared" si="1"/>
        <v>192171</v>
      </c>
      <c r="D20" s="8">
        <f t="shared" si="1"/>
        <v>9565</v>
      </c>
      <c r="E20" s="8">
        <f t="shared" si="1"/>
        <v>3459</v>
      </c>
      <c r="F20" s="8">
        <f t="shared" si="1"/>
        <v>700</v>
      </c>
      <c r="G20" s="8">
        <f t="shared" si="1"/>
        <v>6042</v>
      </c>
      <c r="H20" s="31">
        <f t="shared" si="1"/>
        <v>0</v>
      </c>
      <c r="I20" s="8">
        <f t="shared" si="1"/>
        <v>211937</v>
      </c>
      <c r="J20" s="8">
        <f t="shared" si="1"/>
        <v>142758</v>
      </c>
      <c r="K20" s="285">
        <v>-4.700632514639342E-2</v>
      </c>
      <c r="L20" s="286">
        <v>-9.6309311301974784E-3</v>
      </c>
      <c r="M20" s="22"/>
      <c r="N20" s="143">
        <v>-15822</v>
      </c>
      <c r="O20" s="143">
        <v>-2061</v>
      </c>
      <c r="Q20" s="12">
        <v>336593</v>
      </c>
      <c r="R20" s="12">
        <v>213998</v>
      </c>
    </row>
    <row r="21" spans="1:18" ht="14.9" customHeight="1" x14ac:dyDescent="0.3">
      <c r="A21" s="36" t="s">
        <v>89</v>
      </c>
      <c r="B21" s="9">
        <v>336593</v>
      </c>
      <c r="C21" s="9">
        <v>193758</v>
      </c>
      <c r="D21" s="9">
        <v>8467</v>
      </c>
      <c r="E21" s="9">
        <v>3468</v>
      </c>
      <c r="F21" s="9">
        <v>865</v>
      </c>
      <c r="G21" s="9">
        <v>7440</v>
      </c>
      <c r="H21" s="9">
        <v>0</v>
      </c>
      <c r="I21" s="9">
        <v>213998</v>
      </c>
      <c r="J21" s="9">
        <v>133206</v>
      </c>
      <c r="K21" s="47"/>
      <c r="L21" s="120"/>
    </row>
    <row r="22" spans="1:18" ht="14.9" customHeight="1" x14ac:dyDescent="0.3">
      <c r="A22" s="298" t="s">
        <v>23</v>
      </c>
      <c r="B22" s="24">
        <f t="shared" ref="B22:J22" si="2">B20-B21</f>
        <v>-15822</v>
      </c>
      <c r="C22" s="24">
        <f t="shared" si="2"/>
        <v>-1587</v>
      </c>
      <c r="D22" s="24">
        <f t="shared" si="2"/>
        <v>1098</v>
      </c>
      <c r="E22" s="24">
        <f t="shared" si="2"/>
        <v>-9</v>
      </c>
      <c r="F22" s="24">
        <f t="shared" si="2"/>
        <v>-165</v>
      </c>
      <c r="G22" s="24">
        <f t="shared" si="2"/>
        <v>-1398</v>
      </c>
      <c r="H22" s="299">
        <f t="shared" si="2"/>
        <v>0</v>
      </c>
      <c r="I22" s="24">
        <f t="shared" si="2"/>
        <v>-2061</v>
      </c>
      <c r="J22" s="24">
        <f t="shared" si="2"/>
        <v>9552</v>
      </c>
      <c r="K22" s="19"/>
      <c r="L22" s="121"/>
    </row>
    <row r="30" spans="1:18" ht="13" x14ac:dyDescent="0.3">
      <c r="A30" s="1" t="s">
        <v>0</v>
      </c>
      <c r="B30" s="2" t="s">
        <v>1</v>
      </c>
      <c r="C30" s="2" t="s">
        <v>2</v>
      </c>
      <c r="D30" s="2" t="s">
        <v>3</v>
      </c>
      <c r="E30" s="2" t="s">
        <v>4</v>
      </c>
      <c r="F30" s="2" t="s">
        <v>5</v>
      </c>
      <c r="G30" s="2" t="s">
        <v>6</v>
      </c>
      <c r="H30" s="32" t="s">
        <v>44</v>
      </c>
      <c r="I30" s="1" t="s">
        <v>8</v>
      </c>
      <c r="J30" s="2" t="s">
        <v>10</v>
      </c>
      <c r="K30" s="2" t="s">
        <v>1</v>
      </c>
      <c r="L30" s="2" t="s">
        <v>9</v>
      </c>
      <c r="N30" s="3" t="s">
        <v>103</v>
      </c>
      <c r="O30" s="3" t="s">
        <v>104</v>
      </c>
      <c r="Q30" s="3" t="s">
        <v>94</v>
      </c>
      <c r="R30" s="3" t="s">
        <v>95</v>
      </c>
    </row>
    <row r="31" spans="1:18" ht="13" x14ac:dyDescent="0.3">
      <c r="A31" t="s">
        <v>11</v>
      </c>
      <c r="B31" s="10">
        <v>17597</v>
      </c>
      <c r="C31" s="10">
        <v>10877</v>
      </c>
      <c r="D31" s="10">
        <v>777</v>
      </c>
      <c r="E31" s="10">
        <v>290</v>
      </c>
      <c r="F31" s="10">
        <v>40</v>
      </c>
      <c r="G31" s="10">
        <v>23</v>
      </c>
      <c r="H31" s="31">
        <v>0</v>
      </c>
      <c r="I31" s="10">
        <f>SUM(C31:G31)</f>
        <v>12007</v>
      </c>
      <c r="J31" s="10">
        <v>11570</v>
      </c>
      <c r="K31" s="285">
        <v>2.3497935206188564E-2</v>
      </c>
      <c r="L31" s="286">
        <v>5.5189383952895688E-2</v>
      </c>
      <c r="M31" s="22"/>
      <c r="N31" s="143">
        <v>404</v>
      </c>
      <c r="O31" s="143">
        <v>628</v>
      </c>
      <c r="Q31" s="12">
        <v>17193</v>
      </c>
      <c r="R31" s="12">
        <v>11379</v>
      </c>
    </row>
    <row r="32" spans="1:18" ht="13" x14ac:dyDescent="0.3">
      <c r="A32" t="s">
        <v>12</v>
      </c>
      <c r="B32" s="10">
        <v>15334</v>
      </c>
      <c r="C32" s="10">
        <v>9365</v>
      </c>
      <c r="D32" s="10">
        <v>444</v>
      </c>
      <c r="E32" s="10">
        <v>204</v>
      </c>
      <c r="F32" s="10">
        <v>26</v>
      </c>
      <c r="G32" s="10">
        <v>16</v>
      </c>
      <c r="H32" s="31">
        <v>0</v>
      </c>
      <c r="I32" s="10">
        <f t="shared" ref="I32:I42" si="3">SUM(C32:G32)</f>
        <v>10055</v>
      </c>
      <c r="J32" s="10">
        <v>7096</v>
      </c>
      <c r="K32" s="285">
        <v>-2.7647431832593532E-2</v>
      </c>
      <c r="L32" s="287">
        <v>-5.1594038860592342E-2</v>
      </c>
      <c r="M32" s="22"/>
      <c r="N32" s="143">
        <v>-436</v>
      </c>
      <c r="O32" s="143">
        <v>-547</v>
      </c>
      <c r="Q32" s="12">
        <v>15770</v>
      </c>
      <c r="R32" s="12">
        <v>10602</v>
      </c>
    </row>
    <row r="33" spans="1:18" ht="13" x14ac:dyDescent="0.3">
      <c r="A33" t="s">
        <v>13</v>
      </c>
      <c r="B33" s="10">
        <v>18619</v>
      </c>
      <c r="C33" s="10">
        <v>11507</v>
      </c>
      <c r="D33" s="10">
        <v>544</v>
      </c>
      <c r="E33" s="10">
        <v>239</v>
      </c>
      <c r="F33" s="10">
        <v>108</v>
      </c>
      <c r="G33" s="10">
        <v>28</v>
      </c>
      <c r="H33" s="31">
        <v>0</v>
      </c>
      <c r="I33" s="10">
        <f t="shared" si="3"/>
        <v>12426</v>
      </c>
      <c r="J33" s="10">
        <v>9172</v>
      </c>
      <c r="K33" s="285">
        <v>-0.10161640530759952</v>
      </c>
      <c r="L33" s="287">
        <v>-9.4776717418226852E-2</v>
      </c>
      <c r="M33" s="22"/>
      <c r="N33" s="143">
        <v>-2106</v>
      </c>
      <c r="O33" s="143">
        <v>-1301</v>
      </c>
      <c r="Q33" s="12">
        <v>20725</v>
      </c>
      <c r="R33" s="12">
        <v>13727</v>
      </c>
    </row>
    <row r="34" spans="1:18" ht="13" x14ac:dyDescent="0.3">
      <c r="A34" t="s">
        <v>14</v>
      </c>
      <c r="B34" s="10">
        <v>22724</v>
      </c>
      <c r="C34" s="10">
        <v>13237</v>
      </c>
      <c r="D34" s="10">
        <v>475</v>
      </c>
      <c r="E34" s="10">
        <v>286</v>
      </c>
      <c r="F34" s="10">
        <v>88</v>
      </c>
      <c r="G34" s="10">
        <v>95</v>
      </c>
      <c r="H34" s="31">
        <v>0</v>
      </c>
      <c r="I34" s="10">
        <f t="shared" si="3"/>
        <v>14181</v>
      </c>
      <c r="J34" s="10">
        <v>8886</v>
      </c>
      <c r="K34" s="285">
        <v>-9.4625283875851632E-2</v>
      </c>
      <c r="L34" s="287">
        <v>-0.13133231240428792</v>
      </c>
      <c r="M34" s="22"/>
      <c r="N34" s="143">
        <v>-2375</v>
      </c>
      <c r="O34" s="143">
        <v>-2144</v>
      </c>
      <c r="Q34" s="12">
        <v>25099</v>
      </c>
      <c r="R34" s="12">
        <v>16325</v>
      </c>
    </row>
    <row r="35" spans="1:18" ht="13" x14ac:dyDescent="0.3">
      <c r="A35" t="s">
        <v>15</v>
      </c>
      <c r="B35" s="10">
        <v>30612</v>
      </c>
      <c r="C35" s="10">
        <v>17805</v>
      </c>
      <c r="D35" s="10">
        <v>1113</v>
      </c>
      <c r="E35" s="10">
        <v>315</v>
      </c>
      <c r="F35" s="10">
        <v>69</v>
      </c>
      <c r="G35" s="10">
        <v>513</v>
      </c>
      <c r="H35" s="31">
        <v>0</v>
      </c>
      <c r="I35" s="10">
        <f t="shared" si="3"/>
        <v>19815</v>
      </c>
      <c r="J35" s="10">
        <v>15462</v>
      </c>
      <c r="K35" s="285">
        <v>-1.5754613851199278E-2</v>
      </c>
      <c r="L35" s="287">
        <v>-2.4165533907264765E-3</v>
      </c>
      <c r="M35" s="22"/>
      <c r="N35" s="143">
        <v>-490</v>
      </c>
      <c r="O35" s="143">
        <v>-48</v>
      </c>
      <c r="Q35" s="12">
        <v>31102</v>
      </c>
      <c r="R35" s="12">
        <v>19863</v>
      </c>
    </row>
    <row r="36" spans="1:18" ht="13" x14ac:dyDescent="0.3">
      <c r="A36" t="s">
        <v>16</v>
      </c>
      <c r="B36" s="10">
        <v>35769</v>
      </c>
      <c r="C36" s="10">
        <v>19895</v>
      </c>
      <c r="D36" s="10">
        <v>783</v>
      </c>
      <c r="E36" s="10">
        <v>276</v>
      </c>
      <c r="F36" s="10">
        <v>72</v>
      </c>
      <c r="G36" s="10">
        <v>1408</v>
      </c>
      <c r="H36" s="31">
        <v>0</v>
      </c>
      <c r="I36" s="10">
        <f t="shared" si="3"/>
        <v>22434</v>
      </c>
      <c r="J36" s="10">
        <v>11718</v>
      </c>
      <c r="K36" s="285">
        <v>-6.4373528642427416E-2</v>
      </c>
      <c r="L36" s="287">
        <v>-6.069735501306987E-3</v>
      </c>
      <c r="M36" s="22"/>
      <c r="N36" s="143">
        <v>-2461</v>
      </c>
      <c r="O36" s="143">
        <v>-137</v>
      </c>
      <c r="Q36" s="12">
        <v>38230</v>
      </c>
      <c r="R36" s="12">
        <v>22571</v>
      </c>
    </row>
    <row r="37" spans="1:18" ht="13" x14ac:dyDescent="0.3">
      <c r="A37" t="s">
        <v>17</v>
      </c>
      <c r="B37" s="10">
        <v>54370</v>
      </c>
      <c r="C37" s="10">
        <v>27875</v>
      </c>
      <c r="D37" s="10">
        <v>936</v>
      </c>
      <c r="E37" s="10">
        <v>219</v>
      </c>
      <c r="F37" s="10">
        <v>91</v>
      </c>
      <c r="G37" s="10">
        <v>3188</v>
      </c>
      <c r="H37" s="31">
        <v>0</v>
      </c>
      <c r="I37" s="10">
        <f t="shared" si="3"/>
        <v>32309</v>
      </c>
      <c r="J37" s="10">
        <v>12716</v>
      </c>
      <c r="K37" s="285">
        <v>0.18530630041421409</v>
      </c>
      <c r="L37" s="287">
        <v>1.288482036491316E-2</v>
      </c>
      <c r="M37" s="22"/>
      <c r="N37" s="143">
        <v>8500</v>
      </c>
      <c r="O37" s="143">
        <v>411</v>
      </c>
      <c r="Q37" s="12">
        <v>45870</v>
      </c>
      <c r="R37" s="12">
        <v>31898</v>
      </c>
    </row>
    <row r="38" spans="1:18" ht="13" x14ac:dyDescent="0.3">
      <c r="A38" t="s">
        <v>18</v>
      </c>
      <c r="B38" s="10">
        <v>36384</v>
      </c>
      <c r="C38" s="10">
        <v>20597</v>
      </c>
      <c r="D38" s="10">
        <v>984</v>
      </c>
      <c r="E38" s="10">
        <v>211</v>
      </c>
      <c r="F38" s="10">
        <v>193</v>
      </c>
      <c r="G38" s="10">
        <v>1521</v>
      </c>
      <c r="H38" s="31">
        <v>0</v>
      </c>
      <c r="I38" s="10">
        <f t="shared" si="3"/>
        <v>23506</v>
      </c>
      <c r="J38" s="10">
        <v>13916</v>
      </c>
      <c r="K38" s="285">
        <v>-5.4518995894184297E-2</v>
      </c>
      <c r="L38" s="287">
        <v>-3.600721784776903E-2</v>
      </c>
      <c r="M38" s="22"/>
      <c r="N38" s="143">
        <v>-2098</v>
      </c>
      <c r="O38" s="143">
        <v>-878</v>
      </c>
      <c r="Q38" s="12">
        <v>38482</v>
      </c>
      <c r="R38" s="12">
        <v>24384</v>
      </c>
    </row>
    <row r="39" spans="1:18" ht="13" x14ac:dyDescent="0.3">
      <c r="A39" t="s">
        <v>19</v>
      </c>
      <c r="B39" s="10">
        <v>27435</v>
      </c>
      <c r="C39" s="10">
        <v>15838</v>
      </c>
      <c r="D39" s="10">
        <v>1324</v>
      </c>
      <c r="E39" s="10">
        <v>312</v>
      </c>
      <c r="F39" s="10">
        <v>54</v>
      </c>
      <c r="G39" s="10">
        <v>277</v>
      </c>
      <c r="H39" s="31">
        <v>0</v>
      </c>
      <c r="I39" s="10">
        <f t="shared" si="3"/>
        <v>17805</v>
      </c>
      <c r="J39" s="10">
        <v>17416</v>
      </c>
      <c r="K39" s="285">
        <v>1.8624014022787028E-3</v>
      </c>
      <c r="L39" s="287">
        <v>-8.4094453107596348E-3</v>
      </c>
      <c r="M39" s="22"/>
      <c r="N39" s="143">
        <v>51</v>
      </c>
      <c r="O39" s="143">
        <v>-151</v>
      </c>
      <c r="Q39" s="12">
        <v>27384</v>
      </c>
      <c r="R39" s="12">
        <v>17956</v>
      </c>
    </row>
    <row r="40" spans="1:18" ht="13" x14ac:dyDescent="0.3">
      <c r="A40" t="s">
        <v>20</v>
      </c>
      <c r="B40" s="10">
        <v>25694</v>
      </c>
      <c r="C40" s="10">
        <v>15735</v>
      </c>
      <c r="D40" s="10">
        <v>1154</v>
      </c>
      <c r="E40" s="10">
        <v>321</v>
      </c>
      <c r="F40" s="10">
        <v>54</v>
      </c>
      <c r="G40" s="10">
        <v>107</v>
      </c>
      <c r="H40" s="31">
        <v>0</v>
      </c>
      <c r="I40" s="10">
        <f t="shared" si="3"/>
        <v>17371</v>
      </c>
      <c r="J40" s="10">
        <v>15824</v>
      </c>
      <c r="K40" s="285">
        <v>0.11776221342497933</v>
      </c>
      <c r="L40" s="287">
        <v>5.3170850006062809E-2</v>
      </c>
      <c r="M40" s="22"/>
      <c r="N40" s="143">
        <v>2707</v>
      </c>
      <c r="O40" s="143">
        <v>877</v>
      </c>
      <c r="Q40" s="12">
        <v>22987</v>
      </c>
      <c r="R40" s="12">
        <v>16494</v>
      </c>
    </row>
    <row r="41" spans="1:18" ht="13" x14ac:dyDescent="0.3">
      <c r="A41" t="s">
        <v>21</v>
      </c>
      <c r="B41" s="10">
        <v>20690</v>
      </c>
      <c r="C41" s="10">
        <v>12782</v>
      </c>
      <c r="D41" s="10">
        <v>848</v>
      </c>
      <c r="E41" s="10">
        <v>284</v>
      </c>
      <c r="F41" s="10">
        <v>26</v>
      </c>
      <c r="G41" s="10">
        <v>15</v>
      </c>
      <c r="H41" s="31">
        <v>0</v>
      </c>
      <c r="I41" s="10">
        <f t="shared" si="3"/>
        <v>13955</v>
      </c>
      <c r="J41" s="10">
        <v>12096</v>
      </c>
      <c r="K41" s="285">
        <v>7.7884865850481891E-2</v>
      </c>
      <c r="L41" s="287">
        <v>1.1012098819097298E-2</v>
      </c>
      <c r="M41" s="22"/>
      <c r="N41" s="143">
        <v>1495</v>
      </c>
      <c r="O41" s="143">
        <v>152</v>
      </c>
      <c r="Q41" s="12">
        <v>19195</v>
      </c>
      <c r="R41" s="12">
        <v>13803</v>
      </c>
    </row>
    <row r="42" spans="1:18" ht="13" x14ac:dyDescent="0.3">
      <c r="A42" s="297" t="s">
        <v>22</v>
      </c>
      <c r="B42" s="11">
        <v>18582</v>
      </c>
      <c r="C42" s="11">
        <v>11174</v>
      </c>
      <c r="D42" s="11">
        <v>615</v>
      </c>
      <c r="E42" s="11">
        <v>235</v>
      </c>
      <c r="F42" s="11">
        <v>41</v>
      </c>
      <c r="G42" s="11">
        <v>14</v>
      </c>
      <c r="H42" s="30">
        <v>0</v>
      </c>
      <c r="I42" s="11">
        <f t="shared" si="3"/>
        <v>12079</v>
      </c>
      <c r="J42" s="11">
        <v>9298</v>
      </c>
      <c r="K42" s="288">
        <v>-8.1135902636916835E-3</v>
      </c>
      <c r="L42" s="289">
        <v>-6.6177039041360644E-2</v>
      </c>
      <c r="M42" s="22"/>
      <c r="N42" s="169">
        <v>-152</v>
      </c>
      <c r="O42" s="169">
        <v>-856</v>
      </c>
      <c r="Q42" s="20">
        <v>18734</v>
      </c>
      <c r="R42" s="20">
        <v>12935</v>
      </c>
    </row>
    <row r="43" spans="1:18" ht="13" x14ac:dyDescent="0.3">
      <c r="A43" s="36" t="s">
        <v>108</v>
      </c>
      <c r="B43" s="8">
        <f t="shared" ref="B43:J43" si="4">SUM(B31:B42)</f>
        <v>323810</v>
      </c>
      <c r="C43" s="8">
        <f t="shared" si="4"/>
        <v>186687</v>
      </c>
      <c r="D43" s="8">
        <f t="shared" si="4"/>
        <v>9997</v>
      </c>
      <c r="E43" s="8">
        <f t="shared" si="4"/>
        <v>3192</v>
      </c>
      <c r="F43" s="8">
        <f t="shared" si="4"/>
        <v>862</v>
      </c>
      <c r="G43" s="8">
        <f t="shared" si="4"/>
        <v>7205</v>
      </c>
      <c r="H43" s="31">
        <f t="shared" si="4"/>
        <v>0</v>
      </c>
      <c r="I43" s="8">
        <f t="shared" si="4"/>
        <v>207943</v>
      </c>
      <c r="J43" s="8">
        <f t="shared" si="4"/>
        <v>145170</v>
      </c>
      <c r="K43" s="285">
        <v>9.4740484644808918E-3</v>
      </c>
      <c r="L43" s="286">
        <v>-1.8845222872834851E-2</v>
      </c>
      <c r="M43" s="22"/>
      <c r="N43" s="143">
        <v>3039</v>
      </c>
      <c r="O43" s="143">
        <v>-3994</v>
      </c>
      <c r="Q43" s="12">
        <v>320771</v>
      </c>
      <c r="R43" s="12">
        <v>211937</v>
      </c>
    </row>
    <row r="44" spans="1:18" ht="13" x14ac:dyDescent="0.3">
      <c r="A44" s="36" t="s">
        <v>96</v>
      </c>
      <c r="B44" s="9">
        <v>320771</v>
      </c>
      <c r="C44" s="9">
        <v>192171</v>
      </c>
      <c r="D44" s="9">
        <v>9565</v>
      </c>
      <c r="E44" s="9">
        <v>3459</v>
      </c>
      <c r="F44" s="9">
        <v>700</v>
      </c>
      <c r="G44" s="9">
        <v>6042</v>
      </c>
      <c r="H44" s="9">
        <v>0</v>
      </c>
      <c r="I44" s="9">
        <v>211937</v>
      </c>
      <c r="J44" s="9">
        <v>142758</v>
      </c>
      <c r="K44" s="248">
        <v>-4.700632514639342E-2</v>
      </c>
      <c r="L44" s="306">
        <v>-9.6309311301974784E-3</v>
      </c>
    </row>
    <row r="45" spans="1:18" ht="13" x14ac:dyDescent="0.3">
      <c r="A45" s="298" t="s">
        <v>23</v>
      </c>
      <c r="B45" s="24">
        <f t="shared" ref="B45:J45" si="5">B43-B44</f>
        <v>3039</v>
      </c>
      <c r="C45" s="24">
        <f t="shared" si="5"/>
        <v>-5484</v>
      </c>
      <c r="D45" s="24">
        <f t="shared" si="5"/>
        <v>432</v>
      </c>
      <c r="E45" s="24">
        <f t="shared" si="5"/>
        <v>-267</v>
      </c>
      <c r="F45" s="24">
        <f t="shared" si="5"/>
        <v>162</v>
      </c>
      <c r="G45" s="24">
        <f t="shared" si="5"/>
        <v>1163</v>
      </c>
      <c r="H45" s="299">
        <f t="shared" si="5"/>
        <v>0</v>
      </c>
      <c r="I45" s="24">
        <f t="shared" si="5"/>
        <v>-3994</v>
      </c>
      <c r="J45" s="24">
        <f t="shared" si="5"/>
        <v>2412</v>
      </c>
      <c r="K45" s="19"/>
      <c r="L45" s="121"/>
    </row>
    <row r="48" spans="1:18" x14ac:dyDescent="0.25">
      <c r="B48" s="22" t="s">
        <v>189</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Y94"/>
  <sheetViews>
    <sheetView topLeftCell="A38" zoomScaleNormal="100" workbookViewId="0">
      <selection activeCell="Q52" sqref="Q52"/>
    </sheetView>
  </sheetViews>
  <sheetFormatPr defaultRowHeight="12.75" customHeight="1" x14ac:dyDescent="0.25"/>
  <cols>
    <col min="1" max="1" width="10.453125" customWidth="1"/>
    <col min="2" max="2" width="8" customWidth="1"/>
    <col min="4" max="5" width="7.453125" customWidth="1"/>
    <col min="6" max="6" width="7.08984375" customWidth="1"/>
    <col min="7" max="7" width="6.08984375" customWidth="1"/>
    <col min="8" max="8" width="7.08984375" customWidth="1"/>
    <col min="9" max="9" width="7" customWidth="1"/>
    <col min="10" max="10" width="6.54296875" customWidth="1"/>
    <col min="11" max="11" width="6.453125" customWidth="1"/>
    <col min="12" max="12" width="5.54296875" customWidth="1"/>
    <col min="13" max="13" width="8" customWidth="1"/>
    <col min="14" max="14" width="8.453125" customWidth="1"/>
    <col min="15" max="15" width="10.54296875" customWidth="1"/>
    <col min="16" max="16" width="8.453125" customWidth="1"/>
    <col min="17" max="17" width="8.08984375" customWidth="1"/>
    <col min="18" max="18" width="12.36328125" bestFit="1" customWidth="1"/>
    <col min="21" max="22" width="12.453125" bestFit="1" customWidth="1"/>
  </cols>
  <sheetData>
    <row r="1" spans="1:25" ht="13" x14ac:dyDescent="0.3">
      <c r="A1" s="167"/>
      <c r="B1" s="125"/>
      <c r="C1" s="125"/>
      <c r="D1" s="125"/>
      <c r="E1" s="125"/>
      <c r="F1" s="125"/>
      <c r="G1" s="125"/>
      <c r="H1" s="125"/>
      <c r="I1" s="125"/>
      <c r="J1" s="125"/>
      <c r="K1" s="125"/>
      <c r="L1" s="125"/>
      <c r="M1" s="125"/>
      <c r="N1" s="70"/>
      <c r="O1" s="125"/>
      <c r="P1" s="125"/>
      <c r="Q1" s="39"/>
      <c r="R1" s="39"/>
    </row>
    <row r="2" spans="1:25" ht="13" x14ac:dyDescent="0.3">
      <c r="A2" s="167"/>
      <c r="B2" s="125"/>
      <c r="C2" s="125"/>
      <c r="D2" s="125"/>
      <c r="E2" s="125"/>
      <c r="F2" s="125"/>
      <c r="G2" s="125"/>
      <c r="H2" s="125"/>
      <c r="I2" s="125"/>
      <c r="J2" s="125"/>
      <c r="K2" s="125"/>
      <c r="L2" s="125"/>
      <c r="M2" s="125"/>
      <c r="N2" s="70"/>
      <c r="O2" s="125"/>
      <c r="P2" s="125"/>
      <c r="Q2" s="39"/>
      <c r="R2" s="39"/>
    </row>
    <row r="3" spans="1:25" ht="13" x14ac:dyDescent="0.3">
      <c r="A3" s="167"/>
      <c r="B3" s="125"/>
      <c r="C3" s="125"/>
      <c r="D3" s="125"/>
      <c r="E3" s="125"/>
      <c r="F3" s="125"/>
      <c r="G3" s="125"/>
      <c r="H3" s="125"/>
      <c r="I3" s="125"/>
      <c r="J3" s="125"/>
      <c r="K3" s="125"/>
      <c r="L3" s="125"/>
      <c r="M3" s="125"/>
      <c r="N3" s="70"/>
      <c r="O3" s="125"/>
      <c r="P3" s="125"/>
      <c r="Q3" s="39"/>
      <c r="R3" s="39"/>
    </row>
    <row r="4" spans="1:25" ht="13" x14ac:dyDescent="0.3">
      <c r="A4" s="167"/>
      <c r="B4" s="125"/>
      <c r="C4" s="125"/>
      <c r="D4" s="125"/>
      <c r="E4" s="125"/>
      <c r="F4" s="125"/>
      <c r="G4" s="125"/>
      <c r="H4" s="125"/>
      <c r="I4" s="125"/>
      <c r="J4" s="125"/>
      <c r="K4" s="125"/>
      <c r="L4" s="125"/>
      <c r="M4" s="125"/>
      <c r="N4" s="70"/>
      <c r="O4" s="125"/>
      <c r="P4" s="125"/>
      <c r="Q4" s="39"/>
      <c r="R4" s="39"/>
    </row>
    <row r="10" spans="1:25" ht="13" x14ac:dyDescent="0.3">
      <c r="A10" s="118" t="s">
        <v>0</v>
      </c>
      <c r="B10" s="74" t="s">
        <v>1</v>
      </c>
      <c r="C10" s="74" t="s">
        <v>2</v>
      </c>
      <c r="D10" s="74" t="s">
        <v>52</v>
      </c>
      <c r="E10" s="74" t="s">
        <v>53</v>
      </c>
      <c r="F10" s="74" t="s">
        <v>3</v>
      </c>
      <c r="G10" s="74" t="s">
        <v>4</v>
      </c>
      <c r="H10" s="74" t="s">
        <v>5</v>
      </c>
      <c r="I10" s="74" t="s">
        <v>57</v>
      </c>
      <c r="J10" s="74" t="s">
        <v>46</v>
      </c>
      <c r="K10" s="118" t="s">
        <v>58</v>
      </c>
      <c r="L10" s="118" t="s">
        <v>47</v>
      </c>
      <c r="M10" s="118" t="s">
        <v>6</v>
      </c>
      <c r="N10" s="117" t="s">
        <v>7</v>
      </c>
      <c r="O10" s="118" t="s">
        <v>8</v>
      </c>
      <c r="P10" s="74" t="s">
        <v>10</v>
      </c>
      <c r="Q10" s="144" t="s">
        <v>1</v>
      </c>
      <c r="R10" s="144" t="s">
        <v>9</v>
      </c>
      <c r="T10" s="98"/>
      <c r="U10" s="101" t="s">
        <v>94</v>
      </c>
      <c r="V10" s="101" t="s">
        <v>95</v>
      </c>
      <c r="W10" s="98"/>
      <c r="X10" s="101" t="s">
        <v>87</v>
      </c>
      <c r="Y10" s="101" t="s">
        <v>88</v>
      </c>
    </row>
    <row r="11" spans="1:25" ht="13" x14ac:dyDescent="0.3">
      <c r="A11" s="25" t="s">
        <v>11</v>
      </c>
      <c r="B11" s="62">
        <v>861</v>
      </c>
      <c r="C11" s="62">
        <v>511</v>
      </c>
      <c r="D11" s="62">
        <v>6</v>
      </c>
      <c r="E11" s="62">
        <v>0</v>
      </c>
      <c r="F11" s="62">
        <v>4</v>
      </c>
      <c r="G11" s="62">
        <v>0</v>
      </c>
      <c r="H11" s="62">
        <v>12</v>
      </c>
      <c r="I11" s="62">
        <v>0</v>
      </c>
      <c r="J11" s="116">
        <v>0</v>
      </c>
      <c r="K11" s="62">
        <v>0</v>
      </c>
      <c r="L11" s="62">
        <v>0</v>
      </c>
      <c r="M11" s="62">
        <v>0</v>
      </c>
      <c r="N11" s="70">
        <v>0</v>
      </c>
      <c r="O11" s="62">
        <f>SUM(C11:M11)</f>
        <v>533</v>
      </c>
      <c r="P11" s="62">
        <v>178</v>
      </c>
      <c r="Q11" s="145">
        <f>U11/X11</f>
        <v>8.0301129234629856E-2</v>
      </c>
      <c r="R11" s="146">
        <f>V11/Y11</f>
        <v>0.34936708860759491</v>
      </c>
      <c r="T11" s="45"/>
      <c r="U11" s="139">
        <f t="shared" ref="U11:U22" si="0">B11-X11</f>
        <v>64</v>
      </c>
      <c r="V11" s="139">
        <f>O11-Y11</f>
        <v>138</v>
      </c>
      <c r="X11" s="12">
        <v>797</v>
      </c>
      <c r="Y11" s="12">
        <v>395</v>
      </c>
    </row>
    <row r="12" spans="1:25" ht="13" x14ac:dyDescent="0.3">
      <c r="A12" s="25" t="s">
        <v>12</v>
      </c>
      <c r="B12" s="10">
        <v>727</v>
      </c>
      <c r="C12" s="10">
        <v>392</v>
      </c>
      <c r="D12" s="10">
        <v>3</v>
      </c>
      <c r="E12" s="10">
        <v>1</v>
      </c>
      <c r="F12" s="10">
        <v>2</v>
      </c>
      <c r="G12" s="10">
        <v>0</v>
      </c>
      <c r="H12" s="10">
        <v>29</v>
      </c>
      <c r="I12" s="10">
        <v>0</v>
      </c>
      <c r="J12" s="71">
        <v>0</v>
      </c>
      <c r="K12" s="62">
        <v>0</v>
      </c>
      <c r="L12" s="62">
        <v>0</v>
      </c>
      <c r="M12" s="62">
        <v>0</v>
      </c>
      <c r="N12" s="70">
        <v>0</v>
      </c>
      <c r="O12" s="62">
        <f t="shared" ref="O12:O22" si="1">SUM(C12:M12)</f>
        <v>427</v>
      </c>
      <c r="P12" s="62">
        <v>298</v>
      </c>
      <c r="Q12" s="147">
        <f>U12/X12</f>
        <v>0.13063763608087092</v>
      </c>
      <c r="R12" s="148">
        <f>V12/Y12</f>
        <v>0.16032608695652173</v>
      </c>
      <c r="S12" s="45"/>
      <c r="T12" s="45"/>
      <c r="U12" s="139">
        <f t="shared" si="0"/>
        <v>84</v>
      </c>
      <c r="V12" s="139">
        <f>O12-Y12</f>
        <v>59</v>
      </c>
      <c r="X12" s="12">
        <v>643</v>
      </c>
      <c r="Y12" s="12">
        <v>368</v>
      </c>
    </row>
    <row r="13" spans="1:25" ht="13" x14ac:dyDescent="0.3">
      <c r="A13" s="25" t="s">
        <v>13</v>
      </c>
      <c r="B13" s="10">
        <v>1040</v>
      </c>
      <c r="C13" s="10">
        <v>547</v>
      </c>
      <c r="D13" s="10">
        <v>16</v>
      </c>
      <c r="E13" s="10">
        <v>0</v>
      </c>
      <c r="F13" s="10">
        <v>6</v>
      </c>
      <c r="G13" s="10">
        <v>0</v>
      </c>
      <c r="H13" s="10">
        <v>35</v>
      </c>
      <c r="I13" s="10">
        <v>0</v>
      </c>
      <c r="J13" s="71">
        <v>0</v>
      </c>
      <c r="K13" s="62">
        <v>0</v>
      </c>
      <c r="L13" s="62">
        <v>0</v>
      </c>
      <c r="M13" s="62">
        <v>2</v>
      </c>
      <c r="N13" s="70">
        <v>0</v>
      </c>
      <c r="O13" s="62">
        <f>SUM(C13:M13)</f>
        <v>606</v>
      </c>
      <c r="P13" s="62">
        <v>424</v>
      </c>
      <c r="Q13" s="149">
        <f t="shared" ref="Q13" si="2">U13/X13</f>
        <v>6.8859198355601239E-2</v>
      </c>
      <c r="R13" s="150">
        <f t="shared" ref="R13" si="3">V13/Y13</f>
        <v>0.19526627218934911</v>
      </c>
      <c r="S13" s="45"/>
      <c r="T13" s="45"/>
      <c r="U13" s="139">
        <f t="shared" si="0"/>
        <v>67</v>
      </c>
      <c r="V13" s="139">
        <f t="shared" ref="V13:V14" si="4">O13-Y13</f>
        <v>99</v>
      </c>
      <c r="X13" s="12">
        <v>973</v>
      </c>
      <c r="Y13" s="12">
        <v>507</v>
      </c>
    </row>
    <row r="14" spans="1:25" ht="13" x14ac:dyDescent="0.3">
      <c r="A14" s="25" t="s">
        <v>14</v>
      </c>
      <c r="B14" s="10">
        <v>1238</v>
      </c>
      <c r="C14" s="10">
        <v>617</v>
      </c>
      <c r="D14" s="10">
        <v>40</v>
      </c>
      <c r="E14" s="10">
        <v>3</v>
      </c>
      <c r="F14" s="10">
        <v>16</v>
      </c>
      <c r="G14" s="10">
        <v>0</v>
      </c>
      <c r="H14" s="10">
        <v>22</v>
      </c>
      <c r="I14" s="10">
        <v>0</v>
      </c>
      <c r="J14" s="71">
        <v>2</v>
      </c>
      <c r="K14" s="62">
        <v>0</v>
      </c>
      <c r="L14" s="62">
        <v>0</v>
      </c>
      <c r="M14" s="62">
        <v>0</v>
      </c>
      <c r="N14" s="70">
        <v>0</v>
      </c>
      <c r="O14" s="62">
        <f t="shared" si="1"/>
        <v>700</v>
      </c>
      <c r="P14" s="62">
        <v>424</v>
      </c>
      <c r="Q14" s="149">
        <f>U14/X14</f>
        <v>0.31005291005291008</v>
      </c>
      <c r="R14" s="150">
        <f>V14/Y14</f>
        <v>0.26353790613718414</v>
      </c>
      <c r="S14" s="45"/>
      <c r="T14" s="45"/>
      <c r="U14" s="139">
        <f t="shared" si="0"/>
        <v>293</v>
      </c>
      <c r="V14" s="139">
        <f t="shared" si="4"/>
        <v>146</v>
      </c>
      <c r="X14" s="12">
        <v>945</v>
      </c>
      <c r="Y14" s="12">
        <v>554</v>
      </c>
    </row>
    <row r="15" spans="1:25" ht="13" x14ac:dyDescent="0.3">
      <c r="A15" s="25" t="s">
        <v>15</v>
      </c>
      <c r="B15" s="10">
        <v>1798</v>
      </c>
      <c r="C15" s="10">
        <v>678</v>
      </c>
      <c r="D15" s="10">
        <v>44</v>
      </c>
      <c r="E15" s="10">
        <v>5</v>
      </c>
      <c r="F15" s="10">
        <v>16</v>
      </c>
      <c r="G15" s="10">
        <v>4</v>
      </c>
      <c r="H15" s="10">
        <v>20</v>
      </c>
      <c r="I15" s="10">
        <v>2</v>
      </c>
      <c r="J15" s="71">
        <v>2</v>
      </c>
      <c r="K15" s="62">
        <v>9</v>
      </c>
      <c r="L15" s="62">
        <v>4</v>
      </c>
      <c r="M15" s="62">
        <v>1</v>
      </c>
      <c r="N15" s="70">
        <v>0</v>
      </c>
      <c r="O15" s="62">
        <f>SUM(C15:M15)</f>
        <v>785</v>
      </c>
      <c r="P15" s="62">
        <v>361</v>
      </c>
      <c r="Q15" s="149">
        <f t="shared" ref="Q15" si="5">U15/X15</f>
        <v>0.24515235457063711</v>
      </c>
      <c r="R15" s="150">
        <f>V15/Y15</f>
        <v>7.5342465753424653E-2</v>
      </c>
      <c r="S15" s="45"/>
      <c r="T15" s="45"/>
      <c r="U15" s="139">
        <f t="shared" si="0"/>
        <v>354</v>
      </c>
      <c r="V15" s="139">
        <f>O15-Y15</f>
        <v>55</v>
      </c>
      <c r="X15" s="12">
        <v>1444</v>
      </c>
      <c r="Y15" s="12">
        <v>730</v>
      </c>
    </row>
    <row r="16" spans="1:25" ht="13" x14ac:dyDescent="0.3">
      <c r="A16" s="25" t="s">
        <v>16</v>
      </c>
      <c r="B16" s="10">
        <v>1990</v>
      </c>
      <c r="C16" s="10">
        <v>763</v>
      </c>
      <c r="D16" s="10">
        <v>45</v>
      </c>
      <c r="E16" s="10">
        <v>5</v>
      </c>
      <c r="F16" s="10">
        <v>33</v>
      </c>
      <c r="G16" s="10">
        <v>0</v>
      </c>
      <c r="H16" s="10">
        <v>12</v>
      </c>
      <c r="I16" s="10">
        <v>2</v>
      </c>
      <c r="J16" s="71">
        <v>4</v>
      </c>
      <c r="K16" s="62">
        <v>85</v>
      </c>
      <c r="L16" s="62">
        <v>19</v>
      </c>
      <c r="M16" s="62">
        <v>13</v>
      </c>
      <c r="N16" s="70">
        <v>0</v>
      </c>
      <c r="O16" s="62">
        <f t="shared" si="1"/>
        <v>981</v>
      </c>
      <c r="P16" s="62">
        <v>534</v>
      </c>
      <c r="Q16" s="149">
        <f>U16/X16</f>
        <v>-7.1828358208955223E-2</v>
      </c>
      <c r="R16" s="150">
        <f t="shared" ref="R16" si="6">V16/Y16</f>
        <v>-6.3037249283667621E-2</v>
      </c>
      <c r="S16" s="45"/>
      <c r="T16" s="45"/>
      <c r="U16" s="139">
        <f t="shared" si="0"/>
        <v>-154</v>
      </c>
      <c r="V16" s="139">
        <f>O16-Y16</f>
        <v>-66</v>
      </c>
      <c r="X16" s="12">
        <v>2144</v>
      </c>
      <c r="Y16" s="12">
        <v>1047</v>
      </c>
    </row>
    <row r="17" spans="1:25" ht="13" x14ac:dyDescent="0.3">
      <c r="A17" s="25" t="s">
        <v>17</v>
      </c>
      <c r="B17" s="10">
        <v>3741</v>
      </c>
      <c r="C17" s="10">
        <v>966</v>
      </c>
      <c r="D17" s="10">
        <v>49</v>
      </c>
      <c r="E17" s="10">
        <v>6</v>
      </c>
      <c r="F17" s="10">
        <v>57</v>
      </c>
      <c r="G17" s="10">
        <v>0</v>
      </c>
      <c r="H17" s="10">
        <v>17</v>
      </c>
      <c r="I17" s="10">
        <v>1</v>
      </c>
      <c r="J17" s="71">
        <v>8</v>
      </c>
      <c r="K17" s="62">
        <v>343.63194444444446</v>
      </c>
      <c r="L17" s="62">
        <v>45</v>
      </c>
      <c r="M17" s="62">
        <v>14</v>
      </c>
      <c r="N17" s="70">
        <v>6</v>
      </c>
      <c r="O17" s="62">
        <f t="shared" si="1"/>
        <v>1506.6319444444443</v>
      </c>
      <c r="P17" s="62">
        <v>810</v>
      </c>
      <c r="Q17" s="149">
        <f>U17/X17</f>
        <v>-8.0835380835380832E-2</v>
      </c>
      <c r="R17" s="150">
        <f>V17/Y17</f>
        <v>-9.7825182967398602E-2</v>
      </c>
      <c r="S17" s="45"/>
      <c r="T17" s="45"/>
      <c r="U17" s="139">
        <f t="shared" si="0"/>
        <v>-329</v>
      </c>
      <c r="V17" s="139">
        <f>O17-Y17</f>
        <v>-163.36805555555566</v>
      </c>
      <c r="X17" s="12">
        <v>4070</v>
      </c>
      <c r="Y17" s="12">
        <v>1670</v>
      </c>
    </row>
    <row r="18" spans="1:25" ht="13" x14ac:dyDescent="0.3">
      <c r="A18" s="25" t="s">
        <v>18</v>
      </c>
      <c r="B18" s="10">
        <v>1948</v>
      </c>
      <c r="C18" s="10">
        <v>728</v>
      </c>
      <c r="D18" s="10">
        <v>31</v>
      </c>
      <c r="E18" s="10">
        <v>5</v>
      </c>
      <c r="F18" s="10">
        <v>21</v>
      </c>
      <c r="G18" s="10">
        <v>0</v>
      </c>
      <c r="H18" s="10">
        <v>6</v>
      </c>
      <c r="I18" s="10">
        <v>2</v>
      </c>
      <c r="J18" s="71">
        <v>4</v>
      </c>
      <c r="K18" s="62">
        <v>155</v>
      </c>
      <c r="L18" s="62">
        <v>5</v>
      </c>
      <c r="M18" s="62">
        <v>6</v>
      </c>
      <c r="N18" s="70">
        <v>0</v>
      </c>
      <c r="O18" s="62">
        <f t="shared" si="1"/>
        <v>963</v>
      </c>
      <c r="P18" s="62">
        <v>290</v>
      </c>
      <c r="Q18" s="149">
        <f t="shared" ref="Q18:Q22" si="7">U18/X18</f>
        <v>-0.15561335067186824</v>
      </c>
      <c r="R18" s="150">
        <f>V18/Y18</f>
        <v>-0.10335195530726257</v>
      </c>
      <c r="S18" s="45"/>
      <c r="T18" s="45"/>
      <c r="U18" s="139">
        <f t="shared" si="0"/>
        <v>-359</v>
      </c>
      <c r="V18" s="139">
        <f t="shared" ref="V18:V22" si="8">O18-Y18</f>
        <v>-111</v>
      </c>
      <c r="X18" s="12">
        <v>2307</v>
      </c>
      <c r="Y18" s="12">
        <v>1074</v>
      </c>
    </row>
    <row r="19" spans="1:25" ht="13" x14ac:dyDescent="0.3">
      <c r="A19" s="25" t="s">
        <v>19</v>
      </c>
      <c r="B19" s="10">
        <v>1217</v>
      </c>
      <c r="C19" s="10">
        <v>594</v>
      </c>
      <c r="D19" s="10">
        <v>21</v>
      </c>
      <c r="E19" s="10">
        <v>6</v>
      </c>
      <c r="F19" s="10">
        <v>8</v>
      </c>
      <c r="G19" s="10">
        <v>0</v>
      </c>
      <c r="H19" s="10">
        <v>12</v>
      </c>
      <c r="I19" s="10">
        <v>0</v>
      </c>
      <c r="J19" s="71">
        <v>4</v>
      </c>
      <c r="K19" s="62">
        <v>26</v>
      </c>
      <c r="L19" s="62">
        <v>3</v>
      </c>
      <c r="M19" s="62">
        <v>0</v>
      </c>
      <c r="N19" s="70">
        <v>0</v>
      </c>
      <c r="O19" s="62">
        <f t="shared" si="1"/>
        <v>674</v>
      </c>
      <c r="P19" s="62">
        <v>214</v>
      </c>
      <c r="Q19" s="149">
        <f t="shared" si="7"/>
        <v>-0.15661815661815662</v>
      </c>
      <c r="R19" s="150">
        <f>V19/Y19</f>
        <v>6.9841269841269843E-2</v>
      </c>
      <c r="S19" s="45"/>
      <c r="T19" s="45"/>
      <c r="U19" s="139">
        <f t="shared" si="0"/>
        <v>-226</v>
      </c>
      <c r="V19" s="139">
        <f t="shared" si="8"/>
        <v>44</v>
      </c>
      <c r="X19" s="12">
        <v>1443</v>
      </c>
      <c r="Y19" s="12">
        <v>630</v>
      </c>
    </row>
    <row r="20" spans="1:25" ht="13" x14ac:dyDescent="0.3">
      <c r="A20" s="25" t="s">
        <v>20</v>
      </c>
      <c r="B20" s="10">
        <v>1012</v>
      </c>
      <c r="C20" s="10">
        <v>522</v>
      </c>
      <c r="D20" s="10">
        <v>26</v>
      </c>
      <c r="E20" s="10">
        <v>4</v>
      </c>
      <c r="F20" s="10">
        <v>14</v>
      </c>
      <c r="G20" s="10">
        <v>0</v>
      </c>
      <c r="H20" s="10">
        <v>4</v>
      </c>
      <c r="I20" s="10">
        <v>0</v>
      </c>
      <c r="J20" s="71">
        <v>2</v>
      </c>
      <c r="K20" s="62">
        <v>0</v>
      </c>
      <c r="L20" s="62">
        <v>1</v>
      </c>
      <c r="M20" s="62">
        <v>0</v>
      </c>
      <c r="N20" s="70">
        <v>0</v>
      </c>
      <c r="O20" s="62">
        <f t="shared" si="1"/>
        <v>573</v>
      </c>
      <c r="P20" s="62">
        <v>254</v>
      </c>
      <c r="Q20" s="149">
        <f t="shared" si="7"/>
        <v>-0.17790414297319251</v>
      </c>
      <c r="R20" s="150">
        <f>V20/Y20</f>
        <v>-0.14477611940298507</v>
      </c>
      <c r="S20" s="79"/>
      <c r="T20" s="79"/>
      <c r="U20" s="139">
        <f t="shared" si="0"/>
        <v>-219</v>
      </c>
      <c r="V20" s="139">
        <f t="shared" si="8"/>
        <v>-97</v>
      </c>
      <c r="X20" s="12">
        <v>1231</v>
      </c>
      <c r="Y20" s="12">
        <v>670</v>
      </c>
    </row>
    <row r="21" spans="1:25" ht="13" x14ac:dyDescent="0.3">
      <c r="A21" s="25" t="s">
        <v>21</v>
      </c>
      <c r="B21" s="10">
        <v>980</v>
      </c>
      <c r="C21" s="10">
        <v>529</v>
      </c>
      <c r="D21" s="10">
        <v>12</v>
      </c>
      <c r="E21" s="10">
        <v>0</v>
      </c>
      <c r="F21" s="10">
        <v>12</v>
      </c>
      <c r="G21" s="10">
        <v>0</v>
      </c>
      <c r="H21" s="10">
        <v>18</v>
      </c>
      <c r="I21" s="10">
        <v>0</v>
      </c>
      <c r="J21" s="71">
        <v>2</v>
      </c>
      <c r="K21" s="62">
        <v>4</v>
      </c>
      <c r="L21" s="62">
        <v>1</v>
      </c>
      <c r="M21" s="62">
        <v>0</v>
      </c>
      <c r="N21" s="70">
        <v>0</v>
      </c>
      <c r="O21" s="62">
        <f t="shared" si="1"/>
        <v>578</v>
      </c>
      <c r="P21" s="62">
        <v>376</v>
      </c>
      <c r="Q21" s="147">
        <f t="shared" si="7"/>
        <v>-5.6785370548604427E-2</v>
      </c>
      <c r="R21" s="150">
        <f t="shared" ref="R21:R22" si="9">V21/Y21</f>
        <v>2.4822695035460994E-2</v>
      </c>
      <c r="T21" s="45"/>
      <c r="U21" s="139">
        <f t="shared" si="0"/>
        <v>-59</v>
      </c>
      <c r="V21" s="139">
        <f t="shared" si="8"/>
        <v>14</v>
      </c>
      <c r="X21" s="12">
        <v>1039</v>
      </c>
      <c r="Y21" s="12">
        <v>564</v>
      </c>
    </row>
    <row r="22" spans="1:25" ht="13" x14ac:dyDescent="0.3">
      <c r="A22" s="86" t="s">
        <v>22</v>
      </c>
      <c r="B22" s="11">
        <v>806</v>
      </c>
      <c r="C22" s="11">
        <v>414</v>
      </c>
      <c r="D22" s="11">
        <v>15</v>
      </c>
      <c r="E22" s="11">
        <v>1</v>
      </c>
      <c r="F22" s="11">
        <v>3</v>
      </c>
      <c r="G22" s="11">
        <v>0</v>
      </c>
      <c r="H22" s="11">
        <v>15</v>
      </c>
      <c r="I22" s="11">
        <v>0</v>
      </c>
      <c r="J22" s="78">
        <v>0</v>
      </c>
      <c r="K22" s="62">
        <v>0</v>
      </c>
      <c r="L22" s="62">
        <v>3</v>
      </c>
      <c r="M22" s="62">
        <v>0</v>
      </c>
      <c r="N22" s="70">
        <v>0</v>
      </c>
      <c r="O22" s="62">
        <f t="shared" si="1"/>
        <v>451</v>
      </c>
      <c r="P22" s="62">
        <v>126</v>
      </c>
      <c r="Q22" s="151">
        <f t="shared" si="7"/>
        <v>-9.4382022471910118E-2</v>
      </c>
      <c r="R22" s="152">
        <f t="shared" si="9"/>
        <v>1.7839506172839505</v>
      </c>
      <c r="S22" s="79"/>
      <c r="T22" s="79"/>
      <c r="U22" s="139">
        <f t="shared" si="0"/>
        <v>-84</v>
      </c>
      <c r="V22" s="139">
        <f t="shared" si="8"/>
        <v>289</v>
      </c>
      <c r="X22" s="20">
        <v>890</v>
      </c>
      <c r="Y22" s="12">
        <v>162</v>
      </c>
    </row>
    <row r="23" spans="1:25" ht="13" x14ac:dyDescent="0.3">
      <c r="A23" s="36" t="s">
        <v>96</v>
      </c>
      <c r="B23" s="41">
        <f t="shared" ref="B23:P23" si="10">SUM(B11:B22)</f>
        <v>17358</v>
      </c>
      <c r="C23" s="41">
        <f t="shared" si="10"/>
        <v>7261</v>
      </c>
      <c r="D23" s="41">
        <f t="shared" si="10"/>
        <v>308</v>
      </c>
      <c r="E23" s="41">
        <f t="shared" si="10"/>
        <v>36</v>
      </c>
      <c r="F23" s="41">
        <f t="shared" si="10"/>
        <v>192</v>
      </c>
      <c r="G23" s="41">
        <f t="shared" si="10"/>
        <v>4</v>
      </c>
      <c r="H23" s="41">
        <f t="shared" si="10"/>
        <v>202</v>
      </c>
      <c r="I23" s="41">
        <f t="shared" si="10"/>
        <v>7</v>
      </c>
      <c r="J23" s="130">
        <f t="shared" si="10"/>
        <v>28</v>
      </c>
      <c r="K23" s="41">
        <f t="shared" si="10"/>
        <v>622.63194444444446</v>
      </c>
      <c r="L23" s="41">
        <f t="shared" si="10"/>
        <v>81</v>
      </c>
      <c r="M23" s="41">
        <f t="shared" si="10"/>
        <v>36</v>
      </c>
      <c r="N23" s="42">
        <f t="shared" si="10"/>
        <v>6</v>
      </c>
      <c r="O23" s="41">
        <f t="shared" si="10"/>
        <v>8777.6319444444453</v>
      </c>
      <c r="P23" s="91">
        <f t="shared" si="10"/>
        <v>4289</v>
      </c>
      <c r="Q23" s="153">
        <f>U23/X23</f>
        <v>-3.1685819480084795E-2</v>
      </c>
      <c r="R23" s="154">
        <f>V23/Y23</f>
        <v>4.8576268599264644E-2</v>
      </c>
      <c r="S23" s="45"/>
      <c r="T23" s="45"/>
      <c r="U23" s="139">
        <f>SUM(U11:U22)</f>
        <v>-568</v>
      </c>
      <c r="V23" s="139">
        <f>SUM(V11:V22)</f>
        <v>406.63194444444434</v>
      </c>
      <c r="X23" s="12">
        <f>SUM(X11:X22)</f>
        <v>17926</v>
      </c>
      <c r="Y23" s="12">
        <f>SUM(Y11:Y22)</f>
        <v>8371</v>
      </c>
    </row>
    <row r="24" spans="1:25" ht="13" x14ac:dyDescent="0.3">
      <c r="A24" s="36" t="s">
        <v>89</v>
      </c>
      <c r="B24" s="92">
        <v>17926</v>
      </c>
      <c r="C24" s="92">
        <v>7183</v>
      </c>
      <c r="D24" s="92">
        <v>339</v>
      </c>
      <c r="E24" s="92">
        <v>36</v>
      </c>
      <c r="F24" s="92">
        <v>186</v>
      </c>
      <c r="G24" s="92">
        <v>30</v>
      </c>
      <c r="H24" s="92">
        <v>217</v>
      </c>
      <c r="I24" s="92">
        <v>10</v>
      </c>
      <c r="J24" s="92">
        <v>28</v>
      </c>
      <c r="K24" s="92">
        <v>726</v>
      </c>
      <c r="L24" s="92">
        <v>58</v>
      </c>
      <c r="M24" s="92">
        <v>30</v>
      </c>
      <c r="N24" s="92">
        <v>0</v>
      </c>
      <c r="O24" s="92">
        <v>8371</v>
      </c>
      <c r="P24" s="92">
        <v>3381</v>
      </c>
      <c r="Q24" s="86"/>
      <c r="R24" s="97"/>
    </row>
    <row r="25" spans="1:25" ht="13" x14ac:dyDescent="0.3">
      <c r="A25" s="93" t="s">
        <v>23</v>
      </c>
      <c r="B25" s="94">
        <f t="shared" ref="B25:M25" si="11">B23-B24</f>
        <v>-568</v>
      </c>
      <c r="C25" s="94">
        <f t="shared" si="11"/>
        <v>78</v>
      </c>
      <c r="D25" s="94">
        <f t="shared" si="11"/>
        <v>-31</v>
      </c>
      <c r="E25" s="94">
        <f t="shared" si="11"/>
        <v>0</v>
      </c>
      <c r="F25" s="94">
        <f t="shared" si="11"/>
        <v>6</v>
      </c>
      <c r="G25" s="94">
        <f t="shared" si="11"/>
        <v>-26</v>
      </c>
      <c r="H25" s="94">
        <f t="shared" si="11"/>
        <v>-15</v>
      </c>
      <c r="I25" s="94">
        <f t="shared" si="11"/>
        <v>-3</v>
      </c>
      <c r="J25" s="94">
        <f t="shared" si="11"/>
        <v>0</v>
      </c>
      <c r="K25" s="94">
        <f t="shared" si="11"/>
        <v>-103.36805555555554</v>
      </c>
      <c r="L25" s="94">
        <f t="shared" si="11"/>
        <v>23</v>
      </c>
      <c r="M25" s="94">
        <f t="shared" si="11"/>
        <v>6</v>
      </c>
      <c r="N25" s="40">
        <v>0</v>
      </c>
      <c r="O25" s="94">
        <f>O23-O24</f>
        <v>406.63194444444525</v>
      </c>
      <c r="P25" s="95">
        <f>P23-P24</f>
        <v>908</v>
      </c>
      <c r="Q25" s="7"/>
      <c r="R25" s="58"/>
    </row>
    <row r="27" spans="1:25" ht="12.75" customHeight="1" x14ac:dyDescent="0.25">
      <c r="B27" s="39"/>
      <c r="C27" s="39"/>
      <c r="D27" s="39"/>
      <c r="E27" s="39"/>
      <c r="F27" s="39"/>
      <c r="G27" s="39"/>
      <c r="H27" s="39"/>
      <c r="I27" s="39"/>
      <c r="J27" s="39"/>
      <c r="K27" s="39"/>
      <c r="L27" s="39"/>
      <c r="M27" s="39"/>
      <c r="N27" s="39"/>
      <c r="O27" s="39"/>
      <c r="P27" s="39"/>
    </row>
    <row r="30" spans="1:25" ht="13" x14ac:dyDescent="0.3">
      <c r="A30" s="167"/>
      <c r="B30" s="125"/>
      <c r="C30" s="125"/>
      <c r="D30" s="125"/>
      <c r="E30" s="125"/>
      <c r="F30" s="125"/>
      <c r="G30" s="125"/>
      <c r="H30" s="125"/>
      <c r="I30" s="125"/>
      <c r="J30" s="125"/>
      <c r="K30" s="125"/>
      <c r="L30" s="125"/>
      <c r="M30" s="125"/>
      <c r="N30" s="70"/>
      <c r="O30" s="125"/>
      <c r="P30" s="125"/>
      <c r="Q30" s="39"/>
      <c r="R30" s="39"/>
    </row>
    <row r="36" spans="1:25" ht="13" x14ac:dyDescent="0.3">
      <c r="A36" s="118" t="s">
        <v>0</v>
      </c>
      <c r="B36" s="74" t="s">
        <v>1</v>
      </c>
      <c r="C36" s="74" t="s">
        <v>2</v>
      </c>
      <c r="D36" s="74" t="s">
        <v>52</v>
      </c>
      <c r="E36" s="74" t="s">
        <v>53</v>
      </c>
      <c r="F36" s="74" t="s">
        <v>3</v>
      </c>
      <c r="G36" s="74" t="s">
        <v>4</v>
      </c>
      <c r="H36" s="74" t="s">
        <v>5</v>
      </c>
      <c r="I36" s="74" t="s">
        <v>57</v>
      </c>
      <c r="J36" s="74" t="s">
        <v>46</v>
      </c>
      <c r="K36" s="118" t="s">
        <v>58</v>
      </c>
      <c r="L36" s="118" t="s">
        <v>47</v>
      </c>
      <c r="M36" s="118" t="s">
        <v>6</v>
      </c>
      <c r="N36" s="117" t="s">
        <v>7</v>
      </c>
      <c r="O36" s="118" t="s">
        <v>8</v>
      </c>
      <c r="P36" s="74" t="s">
        <v>10</v>
      </c>
      <c r="Q36" s="144" t="s">
        <v>1</v>
      </c>
      <c r="R36" s="144" t="s">
        <v>9</v>
      </c>
      <c r="T36" s="98"/>
      <c r="U36" s="101" t="s">
        <v>103</v>
      </c>
      <c r="V36" s="101" t="s">
        <v>104</v>
      </c>
      <c r="W36" s="98"/>
      <c r="X36" s="101" t="s">
        <v>94</v>
      </c>
      <c r="Y36" s="101" t="s">
        <v>95</v>
      </c>
    </row>
    <row r="37" spans="1:25" ht="13" x14ac:dyDescent="0.3">
      <c r="A37" s="25" t="s">
        <v>11</v>
      </c>
      <c r="B37" s="62">
        <v>800</v>
      </c>
      <c r="C37" s="62">
        <v>434</v>
      </c>
      <c r="D37" s="62">
        <v>5</v>
      </c>
      <c r="E37" s="62">
        <v>0</v>
      </c>
      <c r="F37" s="62">
        <v>8</v>
      </c>
      <c r="G37" s="62">
        <v>0</v>
      </c>
      <c r="H37" s="62">
        <v>23</v>
      </c>
      <c r="I37" s="62">
        <v>0</v>
      </c>
      <c r="J37" s="116">
        <v>2</v>
      </c>
      <c r="K37" s="62">
        <v>0</v>
      </c>
      <c r="L37" s="62">
        <v>0</v>
      </c>
      <c r="M37" s="62">
        <v>2</v>
      </c>
      <c r="N37" s="70">
        <v>0</v>
      </c>
      <c r="O37" s="62">
        <f>SUM(C37:M37)</f>
        <v>474</v>
      </c>
      <c r="P37" s="62">
        <v>352</v>
      </c>
      <c r="Q37" s="145">
        <f>U37/X37</f>
        <v>-7.0847851335656215E-2</v>
      </c>
      <c r="R37" s="146">
        <f>V37/Y37</f>
        <v>-0.11069418386491557</v>
      </c>
      <c r="T37" s="45"/>
      <c r="U37" s="139">
        <f t="shared" ref="U37:U48" si="12">B37-X37</f>
        <v>-61</v>
      </c>
      <c r="V37" s="139">
        <f>O37-Y37</f>
        <v>-59</v>
      </c>
      <c r="X37" s="12">
        <f t="shared" ref="X37:X48" si="13">B11</f>
        <v>861</v>
      </c>
      <c r="Y37" s="12">
        <f t="shared" ref="Y37:Y48" si="14">O11</f>
        <v>533</v>
      </c>
    </row>
    <row r="38" spans="1:25" ht="13" x14ac:dyDescent="0.3">
      <c r="A38" s="25" t="s">
        <v>12</v>
      </c>
      <c r="B38" s="10">
        <v>728</v>
      </c>
      <c r="C38" s="10">
        <v>401</v>
      </c>
      <c r="D38" s="10">
        <v>15</v>
      </c>
      <c r="E38" s="10">
        <v>0</v>
      </c>
      <c r="F38" s="10">
        <v>2</v>
      </c>
      <c r="G38" s="10">
        <v>0</v>
      </c>
      <c r="H38" s="10">
        <v>18</v>
      </c>
      <c r="I38" s="10">
        <v>0</v>
      </c>
      <c r="J38" s="71">
        <v>0</v>
      </c>
      <c r="K38" s="62">
        <v>0</v>
      </c>
      <c r="L38" s="62">
        <v>0</v>
      </c>
      <c r="M38" s="62">
        <v>0</v>
      </c>
      <c r="N38" s="70">
        <v>0</v>
      </c>
      <c r="O38" s="62">
        <f>SUM(C38:N38)</f>
        <v>436</v>
      </c>
      <c r="P38" s="62">
        <v>209</v>
      </c>
      <c r="Q38" s="147">
        <f>U38/X38</f>
        <v>1.375515818431912E-3</v>
      </c>
      <c r="R38" s="148">
        <f>V38/Y38</f>
        <v>2.1077283372365339E-2</v>
      </c>
      <c r="S38" s="45"/>
      <c r="T38" s="45"/>
      <c r="U38" s="139">
        <f t="shared" si="12"/>
        <v>1</v>
      </c>
      <c r="V38" s="139">
        <f>O38-Y38</f>
        <v>9</v>
      </c>
      <c r="X38" s="12">
        <f t="shared" si="13"/>
        <v>727</v>
      </c>
      <c r="Y38" s="12">
        <f t="shared" si="14"/>
        <v>427</v>
      </c>
    </row>
    <row r="39" spans="1:25" ht="13" x14ac:dyDescent="0.3">
      <c r="A39" s="25" t="s">
        <v>13</v>
      </c>
      <c r="B39" s="10">
        <v>772</v>
      </c>
      <c r="C39" s="10">
        <v>380</v>
      </c>
      <c r="D39" s="10">
        <v>22</v>
      </c>
      <c r="E39" s="10">
        <v>1</v>
      </c>
      <c r="F39" s="10">
        <v>19</v>
      </c>
      <c r="G39" s="10">
        <v>0</v>
      </c>
      <c r="H39" s="10">
        <v>12</v>
      </c>
      <c r="I39" s="10">
        <v>0</v>
      </c>
      <c r="J39" s="71">
        <v>0</v>
      </c>
      <c r="K39" s="62">
        <v>0</v>
      </c>
      <c r="L39" s="62">
        <v>3</v>
      </c>
      <c r="M39" s="62">
        <v>6</v>
      </c>
      <c r="N39" s="70">
        <v>0</v>
      </c>
      <c r="O39" s="62">
        <f t="shared" ref="O39:O45" si="15">SUM(C39:M39)</f>
        <v>443</v>
      </c>
      <c r="P39" s="62">
        <v>328</v>
      </c>
      <c r="Q39" s="149">
        <f t="shared" ref="Q39" si="16">U39/X39</f>
        <v>-0.25769230769230766</v>
      </c>
      <c r="R39" s="150">
        <f t="shared" ref="R39" si="17">V39/Y39</f>
        <v>-0.26897689768976896</v>
      </c>
      <c r="S39" s="45"/>
      <c r="T39" s="45"/>
      <c r="U39" s="139">
        <f t="shared" si="12"/>
        <v>-268</v>
      </c>
      <c r="V39" s="139">
        <f t="shared" ref="V39:V40" si="18">O39-Y39</f>
        <v>-163</v>
      </c>
      <c r="X39" s="12">
        <f t="shared" si="13"/>
        <v>1040</v>
      </c>
      <c r="Y39" s="12">
        <f t="shared" si="14"/>
        <v>606</v>
      </c>
    </row>
    <row r="40" spans="1:25" ht="13" x14ac:dyDescent="0.3">
      <c r="A40" s="25" t="s">
        <v>14</v>
      </c>
      <c r="B40" s="10">
        <v>976</v>
      </c>
      <c r="C40" s="10">
        <v>461</v>
      </c>
      <c r="D40" s="10">
        <v>27</v>
      </c>
      <c r="E40" s="10">
        <v>3</v>
      </c>
      <c r="F40" s="10">
        <v>18</v>
      </c>
      <c r="G40" s="10">
        <v>0</v>
      </c>
      <c r="H40" s="10">
        <v>14</v>
      </c>
      <c r="I40" s="10">
        <v>0</v>
      </c>
      <c r="J40" s="71">
        <v>1</v>
      </c>
      <c r="K40" s="62">
        <v>4</v>
      </c>
      <c r="L40" s="62">
        <v>1</v>
      </c>
      <c r="M40" s="62">
        <v>3</v>
      </c>
      <c r="N40" s="70">
        <v>0</v>
      </c>
      <c r="O40" s="62">
        <f>SUM(C40:M40)</f>
        <v>532</v>
      </c>
      <c r="P40" s="62">
        <v>455</v>
      </c>
      <c r="Q40" s="149">
        <f>U40/X40</f>
        <v>-0.21163166397415187</v>
      </c>
      <c r="R40" s="150">
        <f>V40/Y40</f>
        <v>-0.24</v>
      </c>
      <c r="S40" s="45"/>
      <c r="T40" s="45"/>
      <c r="U40" s="139">
        <f t="shared" si="12"/>
        <v>-262</v>
      </c>
      <c r="V40" s="139">
        <f t="shared" si="18"/>
        <v>-168</v>
      </c>
      <c r="X40" s="12">
        <f t="shared" si="13"/>
        <v>1238</v>
      </c>
      <c r="Y40" s="12">
        <f t="shared" si="14"/>
        <v>700</v>
      </c>
    </row>
    <row r="41" spans="1:25" ht="13" x14ac:dyDescent="0.3">
      <c r="A41" s="25" t="s">
        <v>15</v>
      </c>
      <c r="B41" s="10">
        <v>1213</v>
      </c>
      <c r="C41" s="10">
        <v>558</v>
      </c>
      <c r="D41" s="10">
        <v>33</v>
      </c>
      <c r="E41" s="10">
        <v>5</v>
      </c>
      <c r="F41" s="10">
        <v>16</v>
      </c>
      <c r="G41" s="10">
        <v>0</v>
      </c>
      <c r="H41" s="10">
        <v>16</v>
      </c>
      <c r="I41" s="10">
        <v>0</v>
      </c>
      <c r="J41" s="71">
        <v>2</v>
      </c>
      <c r="K41" s="62">
        <v>8</v>
      </c>
      <c r="L41" s="62">
        <v>0</v>
      </c>
      <c r="M41" s="62">
        <v>0</v>
      </c>
      <c r="N41" s="70">
        <v>0</v>
      </c>
      <c r="O41" s="62">
        <f t="shared" si="15"/>
        <v>638</v>
      </c>
      <c r="P41" s="62">
        <v>599</v>
      </c>
      <c r="Q41" s="149">
        <f t="shared" ref="Q41" si="19">U41/X41</f>
        <v>-0.3253615127919911</v>
      </c>
      <c r="R41" s="150">
        <f>V41/Y41</f>
        <v>-0.18726114649681527</v>
      </c>
      <c r="S41" s="45" t="s">
        <v>120</v>
      </c>
      <c r="T41" s="45"/>
      <c r="U41" s="139">
        <f t="shared" si="12"/>
        <v>-585</v>
      </c>
      <c r="V41" s="139">
        <f>O41-Y41</f>
        <v>-147</v>
      </c>
      <c r="X41" s="12">
        <f t="shared" si="13"/>
        <v>1798</v>
      </c>
      <c r="Y41" s="12">
        <f t="shared" si="14"/>
        <v>785</v>
      </c>
    </row>
    <row r="42" spans="1:25" ht="13" x14ac:dyDescent="0.3">
      <c r="A42" s="25" t="s">
        <v>16</v>
      </c>
      <c r="B42" s="10">
        <v>2062</v>
      </c>
      <c r="C42" s="10">
        <v>718</v>
      </c>
      <c r="D42" s="10">
        <v>37</v>
      </c>
      <c r="E42" s="10">
        <v>2</v>
      </c>
      <c r="F42" s="10">
        <v>43</v>
      </c>
      <c r="G42" s="10">
        <v>0</v>
      </c>
      <c r="H42" s="10">
        <v>9</v>
      </c>
      <c r="I42" s="10">
        <v>0</v>
      </c>
      <c r="J42" s="71">
        <v>1</v>
      </c>
      <c r="K42" s="62">
        <v>127</v>
      </c>
      <c r="L42" s="62">
        <v>6</v>
      </c>
      <c r="M42" s="62">
        <v>10</v>
      </c>
      <c r="N42" s="70">
        <v>0</v>
      </c>
      <c r="O42" s="62">
        <f t="shared" si="15"/>
        <v>953</v>
      </c>
      <c r="P42" s="62">
        <v>473</v>
      </c>
      <c r="Q42" s="149">
        <f>U42/X42</f>
        <v>3.6180904522613064E-2</v>
      </c>
      <c r="R42" s="150">
        <f t="shared" ref="R42" si="20">V42/Y42</f>
        <v>-2.8542303771661569E-2</v>
      </c>
      <c r="S42" s="45"/>
      <c r="T42" s="45"/>
      <c r="U42" s="139">
        <f t="shared" si="12"/>
        <v>72</v>
      </c>
      <c r="V42" s="139">
        <f>O42-Y42</f>
        <v>-28</v>
      </c>
      <c r="X42" s="12">
        <f t="shared" si="13"/>
        <v>1990</v>
      </c>
      <c r="Y42" s="12">
        <f t="shared" si="14"/>
        <v>981</v>
      </c>
    </row>
    <row r="43" spans="1:25" ht="13" x14ac:dyDescent="0.3">
      <c r="A43" s="25" t="s">
        <v>17</v>
      </c>
      <c r="B43" s="10">
        <v>3955</v>
      </c>
      <c r="C43" s="10">
        <v>914</v>
      </c>
      <c r="D43" s="10">
        <v>28</v>
      </c>
      <c r="E43" s="10">
        <v>7</v>
      </c>
      <c r="F43" s="10">
        <v>64</v>
      </c>
      <c r="G43" s="10">
        <v>0</v>
      </c>
      <c r="H43" s="10">
        <v>26</v>
      </c>
      <c r="I43" s="10">
        <v>0</v>
      </c>
      <c r="J43" s="71">
        <v>12</v>
      </c>
      <c r="K43" s="62">
        <v>386</v>
      </c>
      <c r="L43" s="62">
        <v>26</v>
      </c>
      <c r="M43" s="62">
        <v>17</v>
      </c>
      <c r="N43" s="70">
        <v>0</v>
      </c>
      <c r="O43" s="62">
        <f t="shared" si="15"/>
        <v>1480</v>
      </c>
      <c r="P43" s="62">
        <v>995</v>
      </c>
      <c r="Q43" s="149">
        <f>U43/X43</f>
        <v>5.7203956161454156E-2</v>
      </c>
      <c r="R43" s="150">
        <f>V43/Y43</f>
        <v>-1.7676476688714183E-2</v>
      </c>
      <c r="S43" s="45"/>
      <c r="T43" s="45"/>
      <c r="U43" s="139">
        <f t="shared" si="12"/>
        <v>214</v>
      </c>
      <c r="V43" s="139">
        <f>O43-Y43</f>
        <v>-26.631944444444343</v>
      </c>
      <c r="X43" s="12">
        <f t="shared" si="13"/>
        <v>3741</v>
      </c>
      <c r="Y43" s="12">
        <f t="shared" si="14"/>
        <v>1506.6319444444443</v>
      </c>
    </row>
    <row r="44" spans="1:25" ht="13" x14ac:dyDescent="0.3">
      <c r="A44" s="25" t="s">
        <v>18</v>
      </c>
      <c r="B44" s="10">
        <v>2133</v>
      </c>
      <c r="C44" s="10">
        <v>752</v>
      </c>
      <c r="D44" s="10">
        <v>32</v>
      </c>
      <c r="E44" s="10">
        <v>4</v>
      </c>
      <c r="F44" s="10">
        <v>21</v>
      </c>
      <c r="G44" s="10">
        <v>2</v>
      </c>
      <c r="H44" s="10">
        <v>31</v>
      </c>
      <c r="I44" s="10">
        <v>0</v>
      </c>
      <c r="J44" s="71">
        <v>9</v>
      </c>
      <c r="K44" s="62">
        <v>185</v>
      </c>
      <c r="L44" s="62">
        <v>16</v>
      </c>
      <c r="M44" s="62">
        <v>6</v>
      </c>
      <c r="N44" s="70">
        <v>0</v>
      </c>
      <c r="O44" s="62">
        <f t="shared" si="15"/>
        <v>1058</v>
      </c>
      <c r="P44" s="62">
        <v>635</v>
      </c>
      <c r="Q44" s="149">
        <f t="shared" ref="Q44:Q48" si="21">U44/X44</f>
        <v>9.496919917864477E-2</v>
      </c>
      <c r="R44" s="150">
        <f>V44/Y44</f>
        <v>9.8650051921079965E-2</v>
      </c>
      <c r="S44" s="45"/>
      <c r="T44" s="45"/>
      <c r="U44" s="139">
        <f t="shared" si="12"/>
        <v>185</v>
      </c>
      <c r="V44" s="139">
        <f t="shared" ref="V44:V48" si="22">O44-Y44</f>
        <v>95</v>
      </c>
      <c r="X44" s="12">
        <f t="shared" si="13"/>
        <v>1948</v>
      </c>
      <c r="Y44" s="12">
        <f t="shared" si="14"/>
        <v>963</v>
      </c>
    </row>
    <row r="45" spans="1:25" ht="13" x14ac:dyDescent="0.3">
      <c r="A45" s="25" t="s">
        <v>19</v>
      </c>
      <c r="B45" s="10">
        <v>1186</v>
      </c>
      <c r="C45" s="10">
        <v>573</v>
      </c>
      <c r="D45" s="10">
        <v>29</v>
      </c>
      <c r="E45" s="10">
        <v>3</v>
      </c>
      <c r="F45" s="10">
        <v>10</v>
      </c>
      <c r="G45" s="10">
        <v>0</v>
      </c>
      <c r="H45" s="10">
        <v>16</v>
      </c>
      <c r="I45" s="10">
        <v>0</v>
      </c>
      <c r="J45" s="71">
        <v>4</v>
      </c>
      <c r="K45" s="62">
        <v>13</v>
      </c>
      <c r="L45" s="62">
        <v>1</v>
      </c>
      <c r="M45" s="62">
        <v>2</v>
      </c>
      <c r="N45" s="70">
        <v>0</v>
      </c>
      <c r="O45" s="62">
        <f t="shared" si="15"/>
        <v>651</v>
      </c>
      <c r="P45" s="62">
        <v>281</v>
      </c>
      <c r="Q45" s="149">
        <f t="shared" si="21"/>
        <v>-2.5472473294987676E-2</v>
      </c>
      <c r="R45" s="150">
        <f>V45/Y45</f>
        <v>-3.4124629080118693E-2</v>
      </c>
      <c r="S45" s="45"/>
      <c r="T45" s="45"/>
      <c r="U45" s="139">
        <f t="shared" si="12"/>
        <v>-31</v>
      </c>
      <c r="V45" s="139">
        <f t="shared" si="22"/>
        <v>-23</v>
      </c>
      <c r="X45" s="12">
        <f t="shared" si="13"/>
        <v>1217</v>
      </c>
      <c r="Y45" s="12">
        <f t="shared" si="14"/>
        <v>674</v>
      </c>
    </row>
    <row r="46" spans="1:25" ht="13" x14ac:dyDescent="0.3">
      <c r="A46" s="25" t="s">
        <v>20</v>
      </c>
      <c r="B46" s="10">
        <v>1159</v>
      </c>
      <c r="C46" s="10">
        <v>593</v>
      </c>
      <c r="D46" s="10">
        <v>37</v>
      </c>
      <c r="E46" s="10">
        <v>4</v>
      </c>
      <c r="F46" s="10">
        <v>9</v>
      </c>
      <c r="G46" s="10">
        <v>0</v>
      </c>
      <c r="H46" s="10">
        <v>21</v>
      </c>
      <c r="I46" s="10">
        <v>0</v>
      </c>
      <c r="J46" s="71">
        <v>2</v>
      </c>
      <c r="K46" s="62">
        <v>0</v>
      </c>
      <c r="L46" s="62">
        <v>0</v>
      </c>
      <c r="M46" s="62">
        <v>0</v>
      </c>
      <c r="N46" s="70">
        <v>0</v>
      </c>
      <c r="O46" s="62">
        <v>666</v>
      </c>
      <c r="P46" s="62">
        <v>328</v>
      </c>
      <c r="Q46" s="149">
        <f t="shared" si="21"/>
        <v>0.14525691699604742</v>
      </c>
      <c r="R46" s="150">
        <f>V46/Y46</f>
        <v>0.16230366492146597</v>
      </c>
      <c r="S46" s="79"/>
      <c r="T46" s="79"/>
      <c r="U46" s="139">
        <f t="shared" si="12"/>
        <v>147</v>
      </c>
      <c r="V46" s="139">
        <f t="shared" si="22"/>
        <v>93</v>
      </c>
      <c r="X46" s="12">
        <f t="shared" si="13"/>
        <v>1012</v>
      </c>
      <c r="Y46" s="12">
        <f t="shared" si="14"/>
        <v>573</v>
      </c>
    </row>
    <row r="47" spans="1:25" ht="13" x14ac:dyDescent="0.3">
      <c r="A47" s="25" t="s">
        <v>21</v>
      </c>
      <c r="B47" s="10">
        <v>845</v>
      </c>
      <c r="C47" s="10">
        <v>489</v>
      </c>
      <c r="D47" s="10">
        <v>9</v>
      </c>
      <c r="E47" s="10">
        <v>0</v>
      </c>
      <c r="F47" s="10">
        <v>8</v>
      </c>
      <c r="G47" s="10">
        <v>2</v>
      </c>
      <c r="H47" s="10">
        <v>11</v>
      </c>
      <c r="I47" s="10">
        <v>0</v>
      </c>
      <c r="J47" s="71">
        <v>0</v>
      </c>
      <c r="K47" s="62">
        <v>0</v>
      </c>
      <c r="L47" s="62">
        <v>0</v>
      </c>
      <c r="M47" s="62">
        <v>0</v>
      </c>
      <c r="N47" s="70">
        <v>0</v>
      </c>
      <c r="O47" s="62">
        <v>519</v>
      </c>
      <c r="P47" s="62">
        <v>191</v>
      </c>
      <c r="Q47" s="147">
        <f t="shared" si="21"/>
        <v>-0.13775510204081631</v>
      </c>
      <c r="R47" s="150">
        <f t="shared" ref="R47:R48" si="23">V47/Y47</f>
        <v>-0.10207612456747404</v>
      </c>
      <c r="T47" s="45"/>
      <c r="U47" s="139">
        <f t="shared" si="12"/>
        <v>-135</v>
      </c>
      <c r="V47" s="139">
        <f t="shared" si="22"/>
        <v>-59</v>
      </c>
      <c r="X47" s="12">
        <f t="shared" si="13"/>
        <v>980</v>
      </c>
      <c r="Y47" s="12">
        <f t="shared" si="14"/>
        <v>578</v>
      </c>
    </row>
    <row r="48" spans="1:25" ht="13" x14ac:dyDescent="0.3">
      <c r="A48" s="86" t="s">
        <v>22</v>
      </c>
      <c r="B48" s="11">
        <v>799</v>
      </c>
      <c r="C48" s="11">
        <v>494</v>
      </c>
      <c r="D48" s="11">
        <v>19</v>
      </c>
      <c r="E48" s="11">
        <v>0</v>
      </c>
      <c r="F48" s="11">
        <v>2</v>
      </c>
      <c r="G48" s="11">
        <v>0</v>
      </c>
      <c r="H48" s="11">
        <v>6</v>
      </c>
      <c r="I48" s="11">
        <v>0</v>
      </c>
      <c r="J48" s="78">
        <v>0</v>
      </c>
      <c r="K48" s="62">
        <v>4</v>
      </c>
      <c r="L48" s="62">
        <v>0</v>
      </c>
      <c r="M48" s="62">
        <v>0</v>
      </c>
      <c r="N48" s="70">
        <v>0</v>
      </c>
      <c r="O48" s="62">
        <v>525</v>
      </c>
      <c r="P48" s="62">
        <v>55</v>
      </c>
      <c r="Q48" s="151">
        <f t="shared" si="21"/>
        <v>-8.6848635235732014E-3</v>
      </c>
      <c r="R48" s="152">
        <f t="shared" si="23"/>
        <v>0.16407982261640799</v>
      </c>
      <c r="S48" s="79"/>
      <c r="T48" s="79"/>
      <c r="U48" s="139">
        <f t="shared" si="12"/>
        <v>-7</v>
      </c>
      <c r="V48" s="139">
        <f t="shared" si="22"/>
        <v>74</v>
      </c>
      <c r="X48" s="20">
        <f t="shared" si="13"/>
        <v>806</v>
      </c>
      <c r="Y48" s="20">
        <f t="shared" si="14"/>
        <v>451</v>
      </c>
    </row>
    <row r="49" spans="1:25" ht="13" x14ac:dyDescent="0.3">
      <c r="A49" s="36" t="s">
        <v>108</v>
      </c>
      <c r="B49" s="41">
        <f t="shared" ref="B49:P49" si="24">SUM(B37:B48)</f>
        <v>16628</v>
      </c>
      <c r="C49" s="41">
        <f t="shared" si="24"/>
        <v>6767</v>
      </c>
      <c r="D49" s="41">
        <f t="shared" si="24"/>
        <v>293</v>
      </c>
      <c r="E49" s="41">
        <f t="shared" si="24"/>
        <v>29</v>
      </c>
      <c r="F49" s="41">
        <f t="shared" si="24"/>
        <v>220</v>
      </c>
      <c r="G49" s="41">
        <f t="shared" si="24"/>
        <v>4</v>
      </c>
      <c r="H49" s="41">
        <f t="shared" si="24"/>
        <v>203</v>
      </c>
      <c r="I49" s="41">
        <f t="shared" si="24"/>
        <v>0</v>
      </c>
      <c r="J49" s="130">
        <f t="shared" si="24"/>
        <v>33</v>
      </c>
      <c r="K49" s="41">
        <f t="shared" si="24"/>
        <v>727</v>
      </c>
      <c r="L49" s="41">
        <f t="shared" si="24"/>
        <v>53</v>
      </c>
      <c r="M49" s="41">
        <f t="shared" si="24"/>
        <v>46</v>
      </c>
      <c r="N49" s="42">
        <f t="shared" si="24"/>
        <v>0</v>
      </c>
      <c r="O49" s="41">
        <f t="shared" si="24"/>
        <v>8375</v>
      </c>
      <c r="P49" s="91">
        <f t="shared" si="24"/>
        <v>4901</v>
      </c>
      <c r="Q49" s="153">
        <f>U49/X49</f>
        <v>-4.2055536352114301E-2</v>
      </c>
      <c r="R49" s="154">
        <f>V49/Y49</f>
        <v>-4.5870224109735985E-2</v>
      </c>
      <c r="S49" s="45"/>
      <c r="T49" s="45"/>
      <c r="U49" s="139">
        <f>SUM(U37:U48)</f>
        <v>-730</v>
      </c>
      <c r="V49" s="139">
        <f>SUM(V37:V48)</f>
        <v>-402.63194444444434</v>
      </c>
      <c r="X49" s="12">
        <f>SUM(X37:X48)</f>
        <v>17358</v>
      </c>
      <c r="Y49" s="12">
        <f>SUM(Y37:Y48)</f>
        <v>8777.6319444444453</v>
      </c>
    </row>
    <row r="50" spans="1:25" ht="13" x14ac:dyDescent="0.3">
      <c r="A50" s="36" t="s">
        <v>96</v>
      </c>
      <c r="B50" s="92">
        <v>17358</v>
      </c>
      <c r="C50" s="92">
        <v>7261</v>
      </c>
      <c r="D50" s="92">
        <v>308</v>
      </c>
      <c r="E50" s="92">
        <v>36</v>
      </c>
      <c r="F50" s="92">
        <v>192</v>
      </c>
      <c r="G50" s="92">
        <v>4</v>
      </c>
      <c r="H50" s="92">
        <v>202</v>
      </c>
      <c r="I50" s="92">
        <v>7</v>
      </c>
      <c r="J50" s="92">
        <v>28</v>
      </c>
      <c r="K50" s="92">
        <v>622.63194444444446</v>
      </c>
      <c r="L50" s="92">
        <v>81</v>
      </c>
      <c r="M50" s="92">
        <v>36</v>
      </c>
      <c r="N50" s="92">
        <v>6</v>
      </c>
      <c r="O50" s="92">
        <v>8777.6319444444453</v>
      </c>
      <c r="P50" s="92">
        <v>4289</v>
      </c>
      <c r="Q50" s="251">
        <v>-3.1685819480084795E-2</v>
      </c>
      <c r="R50" s="252">
        <v>4.8576268599264644E-2</v>
      </c>
    </row>
    <row r="51" spans="1:25" ht="13" x14ac:dyDescent="0.3">
      <c r="A51" s="274" t="s">
        <v>23</v>
      </c>
      <c r="B51" s="94">
        <f t="shared" ref="B51:M51" si="25">B49-B50</f>
        <v>-730</v>
      </c>
      <c r="C51" s="94">
        <f t="shared" si="25"/>
        <v>-494</v>
      </c>
      <c r="D51" s="94">
        <f t="shared" si="25"/>
        <v>-15</v>
      </c>
      <c r="E51" s="94">
        <f t="shared" si="25"/>
        <v>-7</v>
      </c>
      <c r="F51" s="94">
        <f t="shared" si="25"/>
        <v>28</v>
      </c>
      <c r="G51" s="94">
        <f t="shared" si="25"/>
        <v>0</v>
      </c>
      <c r="H51" s="94">
        <f t="shared" si="25"/>
        <v>1</v>
      </c>
      <c r="I51" s="94">
        <f t="shared" si="25"/>
        <v>-7</v>
      </c>
      <c r="J51" s="94">
        <f t="shared" si="25"/>
        <v>5</v>
      </c>
      <c r="K51" s="94">
        <f t="shared" si="25"/>
        <v>104.36805555555554</v>
      </c>
      <c r="L51" s="94">
        <f t="shared" si="25"/>
        <v>-28</v>
      </c>
      <c r="M51" s="94">
        <f t="shared" si="25"/>
        <v>10</v>
      </c>
      <c r="N51" s="40">
        <v>0</v>
      </c>
      <c r="O51" s="94">
        <f>O49-O50</f>
        <v>-402.63194444444525</v>
      </c>
      <c r="P51" s="95">
        <f>P49-P50</f>
        <v>612</v>
      </c>
      <c r="Q51" s="7"/>
      <c r="R51" s="58"/>
    </row>
    <row r="54" spans="1:25" ht="12.75" customHeight="1" x14ac:dyDescent="0.25">
      <c r="C54" s="332"/>
      <c r="D54" s="333"/>
      <c r="E54" s="333"/>
      <c r="F54" s="333"/>
      <c r="G54" s="333"/>
      <c r="H54" s="333"/>
      <c r="I54" s="333"/>
      <c r="J54" s="333"/>
      <c r="K54" s="333"/>
      <c r="L54" s="333"/>
      <c r="M54" s="334"/>
    </row>
    <row r="55" spans="1:25" ht="12.75" customHeight="1" x14ac:dyDescent="0.25">
      <c r="C55" s="25"/>
      <c r="D55" s="3" t="s">
        <v>190</v>
      </c>
      <c r="H55" s="335" t="s">
        <v>191</v>
      </c>
      <c r="M55" s="337"/>
    </row>
    <row r="56" spans="1:25" ht="12.75" customHeight="1" x14ac:dyDescent="0.25">
      <c r="C56" s="86"/>
      <c r="D56" s="4"/>
      <c r="E56" s="4"/>
      <c r="F56" s="4"/>
      <c r="G56" s="4"/>
      <c r="H56" s="4"/>
      <c r="I56" s="4"/>
      <c r="J56" s="4"/>
      <c r="K56" s="4"/>
      <c r="L56" s="4"/>
      <c r="M56" s="97"/>
    </row>
    <row r="58" spans="1:25" ht="12.75" customHeight="1" x14ac:dyDescent="0.3">
      <c r="A58" s="122" t="s">
        <v>0</v>
      </c>
      <c r="B58" s="26" t="s">
        <v>1</v>
      </c>
      <c r="C58" s="26" t="s">
        <v>2</v>
      </c>
      <c r="D58" s="26" t="s">
        <v>52</v>
      </c>
      <c r="E58" s="26" t="s">
        <v>53</v>
      </c>
      <c r="F58" s="26" t="s">
        <v>3</v>
      </c>
      <c r="G58" s="26" t="s">
        <v>4</v>
      </c>
      <c r="H58" s="26" t="s">
        <v>5</v>
      </c>
      <c r="I58" s="26" t="s">
        <v>57</v>
      </c>
      <c r="J58" s="26" t="s">
        <v>46</v>
      </c>
      <c r="K58" s="122" t="s">
        <v>58</v>
      </c>
      <c r="L58" s="122" t="s">
        <v>47</v>
      </c>
      <c r="M58" s="122" t="s">
        <v>6</v>
      </c>
      <c r="N58" s="393" t="s">
        <v>7</v>
      </c>
      <c r="O58" s="122" t="s">
        <v>8</v>
      </c>
      <c r="P58" s="26" t="s">
        <v>10</v>
      </c>
      <c r="Q58" s="408" t="s">
        <v>1</v>
      </c>
      <c r="R58" s="408" t="s">
        <v>9</v>
      </c>
      <c r="U58" s="101" t="s">
        <v>129</v>
      </c>
      <c r="V58" s="101" t="s">
        <v>130</v>
      </c>
      <c r="W58" s="101"/>
      <c r="X58" s="101" t="s">
        <v>103</v>
      </c>
      <c r="Y58" s="101" t="s">
        <v>104</v>
      </c>
    </row>
    <row r="59" spans="1:25" ht="12.75" customHeight="1" x14ac:dyDescent="0.3">
      <c r="A59" s="25" t="s">
        <v>11</v>
      </c>
      <c r="B59" s="10">
        <v>768</v>
      </c>
      <c r="C59" s="10">
        <v>470</v>
      </c>
      <c r="D59" s="10">
        <v>10</v>
      </c>
      <c r="E59" s="10">
        <v>0</v>
      </c>
      <c r="F59" s="10">
        <v>7</v>
      </c>
      <c r="G59" s="10">
        <v>0</v>
      </c>
      <c r="H59" s="10">
        <v>15</v>
      </c>
      <c r="I59" s="10">
        <v>0</v>
      </c>
      <c r="J59" s="16">
        <v>0</v>
      </c>
      <c r="K59" s="10">
        <v>0</v>
      </c>
      <c r="L59" s="10">
        <v>0</v>
      </c>
      <c r="M59" s="10">
        <v>0</v>
      </c>
      <c r="N59" s="31">
        <v>0</v>
      </c>
      <c r="O59" s="10">
        <f>SUM(C59:M59)</f>
        <v>502</v>
      </c>
      <c r="P59" s="10">
        <v>256</v>
      </c>
      <c r="Q59" s="145">
        <f t="shared" ref="Q59:R71" si="26">U59/X59</f>
        <v>-0.04</v>
      </c>
      <c r="R59" s="146">
        <f t="shared" si="26"/>
        <v>5.9071729957805907E-2</v>
      </c>
      <c r="U59" s="139">
        <f t="shared" ref="U59:U70" si="27">B59-X59</f>
        <v>-32</v>
      </c>
      <c r="V59" s="139">
        <f t="shared" ref="V59:V70" si="28">O59-Y59</f>
        <v>28</v>
      </c>
      <c r="X59" s="12">
        <v>800</v>
      </c>
      <c r="Y59" s="12">
        <v>474</v>
      </c>
    </row>
    <row r="60" spans="1:25" ht="12.75" customHeight="1" x14ac:dyDescent="0.3">
      <c r="A60" s="25" t="s">
        <v>12</v>
      </c>
      <c r="B60" s="10">
        <v>688</v>
      </c>
      <c r="C60" s="10">
        <v>416</v>
      </c>
      <c r="D60" s="10">
        <v>14</v>
      </c>
      <c r="E60" s="10">
        <v>0</v>
      </c>
      <c r="F60" s="10">
        <v>2</v>
      </c>
      <c r="G60" s="10">
        <v>0</v>
      </c>
      <c r="H60" s="10">
        <v>2</v>
      </c>
      <c r="I60" s="10">
        <v>0</v>
      </c>
      <c r="J60" s="16">
        <v>0</v>
      </c>
      <c r="K60" s="10">
        <v>0</v>
      </c>
      <c r="L60" s="10">
        <v>0</v>
      </c>
      <c r="M60" s="10">
        <v>1</v>
      </c>
      <c r="N60" s="31">
        <v>0</v>
      </c>
      <c r="O60" s="10">
        <f>SUM(C60:N60)</f>
        <v>435</v>
      </c>
      <c r="P60" s="10">
        <v>32</v>
      </c>
      <c r="Q60" s="147">
        <f t="shared" si="26"/>
        <v>-5.4945054945054944E-2</v>
      </c>
      <c r="R60" s="148">
        <f t="shared" si="26"/>
        <v>-2.2935779816513763E-3</v>
      </c>
      <c r="U60" s="139">
        <f t="shared" si="27"/>
        <v>-40</v>
      </c>
      <c r="V60" s="139">
        <f t="shared" si="28"/>
        <v>-1</v>
      </c>
      <c r="X60" s="12">
        <v>728</v>
      </c>
      <c r="Y60" s="12">
        <v>436</v>
      </c>
    </row>
    <row r="61" spans="1:25" ht="12.75" customHeight="1" x14ac:dyDescent="0.3">
      <c r="A61" s="25" t="s">
        <v>13</v>
      </c>
      <c r="B61" s="10">
        <v>765</v>
      </c>
      <c r="C61" s="10">
        <v>445</v>
      </c>
      <c r="D61" s="10">
        <v>20</v>
      </c>
      <c r="E61" s="10">
        <v>0</v>
      </c>
      <c r="F61" s="10">
        <v>10</v>
      </c>
      <c r="G61" s="10">
        <v>0</v>
      </c>
      <c r="H61" s="10">
        <v>6</v>
      </c>
      <c r="I61" s="10">
        <v>0</v>
      </c>
      <c r="J61" s="16">
        <v>0</v>
      </c>
      <c r="K61" s="10">
        <v>0</v>
      </c>
      <c r="L61" s="10">
        <v>1</v>
      </c>
      <c r="M61" s="10">
        <v>2</v>
      </c>
      <c r="N61" s="31">
        <v>0</v>
      </c>
      <c r="O61" s="10">
        <f>SUM(C61:M61)</f>
        <v>484</v>
      </c>
      <c r="P61" s="10">
        <v>117</v>
      </c>
      <c r="Q61" s="149">
        <f t="shared" si="26"/>
        <v>-9.0673575129533671E-3</v>
      </c>
      <c r="R61" s="150">
        <f t="shared" si="26"/>
        <v>9.2550790067720087E-2</v>
      </c>
      <c r="U61" s="139">
        <f t="shared" si="27"/>
        <v>-7</v>
      </c>
      <c r="V61" s="139">
        <f t="shared" si="28"/>
        <v>41</v>
      </c>
      <c r="X61" s="12">
        <v>772</v>
      </c>
      <c r="Y61" s="12">
        <v>443</v>
      </c>
    </row>
    <row r="62" spans="1:25" ht="12.75" customHeight="1" x14ac:dyDescent="0.3">
      <c r="A62" s="25" t="s">
        <v>14</v>
      </c>
      <c r="B62" s="10">
        <v>1030</v>
      </c>
      <c r="C62" s="10">
        <v>550</v>
      </c>
      <c r="D62" s="10">
        <v>21</v>
      </c>
      <c r="E62" s="10">
        <v>1</v>
      </c>
      <c r="F62" s="10">
        <v>13</v>
      </c>
      <c r="G62" s="10">
        <v>0</v>
      </c>
      <c r="H62" s="10">
        <v>8</v>
      </c>
      <c r="I62" s="10">
        <v>0</v>
      </c>
      <c r="J62" s="16">
        <v>0</v>
      </c>
      <c r="K62" s="10">
        <v>6</v>
      </c>
      <c r="L62" s="10">
        <v>5</v>
      </c>
      <c r="M62" s="10">
        <v>2</v>
      </c>
      <c r="N62" s="31">
        <v>0</v>
      </c>
      <c r="O62" s="10">
        <f>SUM(C62:M62)</f>
        <v>606</v>
      </c>
      <c r="P62" s="10">
        <v>242</v>
      </c>
      <c r="Q62" s="149">
        <f t="shared" si="26"/>
        <v>5.5327868852459015E-2</v>
      </c>
      <c r="R62" s="150">
        <f t="shared" si="26"/>
        <v>0.13909774436090225</v>
      </c>
      <c r="U62" s="139">
        <f t="shared" si="27"/>
        <v>54</v>
      </c>
      <c r="V62" s="139">
        <f t="shared" si="28"/>
        <v>74</v>
      </c>
      <c r="X62" s="12">
        <v>976</v>
      </c>
      <c r="Y62" s="12">
        <v>532</v>
      </c>
    </row>
    <row r="63" spans="1:25" ht="12.75" customHeight="1" x14ac:dyDescent="0.3">
      <c r="A63" s="25" t="s">
        <v>15</v>
      </c>
      <c r="B63" s="10">
        <v>1332</v>
      </c>
      <c r="C63" s="10">
        <v>601</v>
      </c>
      <c r="D63" s="10">
        <v>63</v>
      </c>
      <c r="E63" s="10">
        <v>4</v>
      </c>
      <c r="F63" s="10">
        <v>11</v>
      </c>
      <c r="G63" s="10">
        <v>0</v>
      </c>
      <c r="H63" s="10">
        <v>20</v>
      </c>
      <c r="I63" s="10">
        <v>0</v>
      </c>
      <c r="J63" s="16">
        <v>2</v>
      </c>
      <c r="K63" s="10">
        <v>12</v>
      </c>
      <c r="L63" s="10">
        <v>3</v>
      </c>
      <c r="M63" s="10">
        <v>14</v>
      </c>
      <c r="N63" s="31">
        <v>0</v>
      </c>
      <c r="O63" s="10">
        <f t="shared" ref="O63:O70" si="29">SUM(C63:M63)</f>
        <v>730</v>
      </c>
      <c r="P63" s="10">
        <v>410</v>
      </c>
      <c r="Q63" s="149">
        <f t="shared" si="26"/>
        <v>9.8103874690849135E-2</v>
      </c>
      <c r="R63" s="150">
        <f t="shared" si="26"/>
        <v>0.14420062695924765</v>
      </c>
      <c r="U63" s="139">
        <f t="shared" si="27"/>
        <v>119</v>
      </c>
      <c r="V63" s="139">
        <f t="shared" si="28"/>
        <v>92</v>
      </c>
      <c r="X63" s="12">
        <v>1213</v>
      </c>
      <c r="Y63" s="12">
        <v>638</v>
      </c>
    </row>
    <row r="64" spans="1:25" ht="12.75" customHeight="1" x14ac:dyDescent="0.3">
      <c r="A64" s="25" t="s">
        <v>16</v>
      </c>
      <c r="B64" s="10">
        <v>2267</v>
      </c>
      <c r="C64" s="10">
        <v>807</v>
      </c>
      <c r="D64" s="10">
        <v>55</v>
      </c>
      <c r="E64" s="10">
        <v>1</v>
      </c>
      <c r="F64" s="10">
        <v>48</v>
      </c>
      <c r="G64" s="10">
        <v>0</v>
      </c>
      <c r="H64" s="10">
        <v>33</v>
      </c>
      <c r="I64" s="10">
        <v>2</v>
      </c>
      <c r="J64" s="16">
        <v>7</v>
      </c>
      <c r="K64" s="10">
        <v>124</v>
      </c>
      <c r="L64" s="10">
        <v>13</v>
      </c>
      <c r="M64" s="10">
        <v>1</v>
      </c>
      <c r="N64" s="31">
        <v>0</v>
      </c>
      <c r="O64" s="10">
        <f t="shared" si="29"/>
        <v>1091</v>
      </c>
      <c r="P64" s="10">
        <v>906</v>
      </c>
      <c r="Q64" s="149">
        <f t="shared" si="26"/>
        <v>9.9418040737148397E-2</v>
      </c>
      <c r="R64" s="150">
        <f t="shared" si="26"/>
        <v>0.14480587618048268</v>
      </c>
      <c r="U64" s="139">
        <f t="shared" si="27"/>
        <v>205</v>
      </c>
      <c r="V64" s="139">
        <f t="shared" si="28"/>
        <v>138</v>
      </c>
      <c r="X64" s="12">
        <v>2062</v>
      </c>
      <c r="Y64" s="12">
        <v>953</v>
      </c>
    </row>
    <row r="65" spans="1:25" ht="12.75" customHeight="1" x14ac:dyDescent="0.3">
      <c r="A65" s="25" t="s">
        <v>17</v>
      </c>
      <c r="B65" s="10">
        <v>3450</v>
      </c>
      <c r="C65" s="10">
        <v>992</v>
      </c>
      <c r="D65" s="10">
        <v>50</v>
      </c>
      <c r="E65" s="10">
        <v>1</v>
      </c>
      <c r="F65" s="10">
        <v>45</v>
      </c>
      <c r="G65" s="10">
        <v>0</v>
      </c>
      <c r="H65" s="10">
        <v>31</v>
      </c>
      <c r="I65" s="10">
        <v>1</v>
      </c>
      <c r="J65" s="16">
        <v>5</v>
      </c>
      <c r="K65" s="10">
        <v>266</v>
      </c>
      <c r="L65" s="10">
        <v>8</v>
      </c>
      <c r="M65" s="10">
        <v>16</v>
      </c>
      <c r="N65" s="31">
        <v>0</v>
      </c>
      <c r="O65" s="10">
        <f t="shared" si="29"/>
        <v>1415</v>
      </c>
      <c r="P65" s="10">
        <v>752</v>
      </c>
      <c r="Q65" s="149">
        <f t="shared" si="26"/>
        <v>-0.12768647281921619</v>
      </c>
      <c r="R65" s="150">
        <f t="shared" si="26"/>
        <v>-4.3918918918918921E-2</v>
      </c>
      <c r="U65" s="139">
        <f t="shared" si="27"/>
        <v>-505</v>
      </c>
      <c r="V65" s="139">
        <f t="shared" si="28"/>
        <v>-65</v>
      </c>
      <c r="X65" s="12">
        <v>3955</v>
      </c>
      <c r="Y65" s="12">
        <v>1480</v>
      </c>
    </row>
    <row r="66" spans="1:25" ht="12.75" customHeight="1" x14ac:dyDescent="0.3">
      <c r="A66" s="25" t="s">
        <v>18</v>
      </c>
      <c r="B66" s="10">
        <v>1971</v>
      </c>
      <c r="C66" s="10">
        <v>699</v>
      </c>
      <c r="D66" s="10">
        <v>35</v>
      </c>
      <c r="E66" s="10">
        <v>1</v>
      </c>
      <c r="F66" s="10">
        <v>13</v>
      </c>
      <c r="G66" s="10">
        <v>0</v>
      </c>
      <c r="H66" s="10">
        <v>10</v>
      </c>
      <c r="I66" s="10">
        <v>0</v>
      </c>
      <c r="J66" s="16">
        <v>12</v>
      </c>
      <c r="K66" s="10">
        <v>155</v>
      </c>
      <c r="L66" s="10">
        <v>6</v>
      </c>
      <c r="M66" s="10">
        <v>3</v>
      </c>
      <c r="N66" s="31">
        <v>0</v>
      </c>
      <c r="O66" s="10">
        <f t="shared" si="29"/>
        <v>934</v>
      </c>
      <c r="P66" s="10">
        <v>338</v>
      </c>
      <c r="Q66" s="149">
        <f t="shared" si="26"/>
        <v>-7.5949367088607597E-2</v>
      </c>
      <c r="R66" s="150">
        <f t="shared" si="26"/>
        <v>-0.11720226843100189</v>
      </c>
      <c r="U66" s="139">
        <f t="shared" si="27"/>
        <v>-162</v>
      </c>
      <c r="V66" s="139">
        <f t="shared" si="28"/>
        <v>-124</v>
      </c>
      <c r="X66" s="12">
        <v>2133</v>
      </c>
      <c r="Y66" s="12">
        <v>1058</v>
      </c>
    </row>
    <row r="67" spans="1:25" ht="12.75" customHeight="1" x14ac:dyDescent="0.3">
      <c r="A67" s="25" t="s">
        <v>19</v>
      </c>
      <c r="B67" s="10">
        <v>1110</v>
      </c>
      <c r="C67" s="10">
        <v>585</v>
      </c>
      <c r="D67" s="10">
        <v>25</v>
      </c>
      <c r="E67" s="10">
        <v>2</v>
      </c>
      <c r="F67" s="10">
        <v>7</v>
      </c>
      <c r="G67" s="10">
        <v>0</v>
      </c>
      <c r="H67" s="10">
        <v>7</v>
      </c>
      <c r="I67" s="10">
        <v>0</v>
      </c>
      <c r="J67" s="16">
        <v>2</v>
      </c>
      <c r="K67" s="10">
        <v>4</v>
      </c>
      <c r="L67" s="10">
        <v>0</v>
      </c>
      <c r="M67" s="10">
        <v>2</v>
      </c>
      <c r="N67" s="31">
        <v>0</v>
      </c>
      <c r="O67" s="10">
        <f t="shared" si="29"/>
        <v>634</v>
      </c>
      <c r="P67" s="10">
        <v>161</v>
      </c>
      <c r="Q67" s="149">
        <f t="shared" si="26"/>
        <v>-6.4080944350758853E-2</v>
      </c>
      <c r="R67" s="150">
        <f t="shared" si="26"/>
        <v>-2.6113671274961597E-2</v>
      </c>
      <c r="U67" s="139">
        <f t="shared" si="27"/>
        <v>-76</v>
      </c>
      <c r="V67" s="139">
        <f t="shared" si="28"/>
        <v>-17</v>
      </c>
      <c r="X67" s="12">
        <v>1186</v>
      </c>
      <c r="Y67" s="12">
        <v>651</v>
      </c>
    </row>
    <row r="68" spans="1:25" ht="12.75" customHeight="1" x14ac:dyDescent="0.3">
      <c r="A68" s="25" t="s">
        <v>20</v>
      </c>
      <c r="B68" s="10">
        <v>968</v>
      </c>
      <c r="C68" s="10">
        <v>615</v>
      </c>
      <c r="D68" s="10">
        <v>41</v>
      </c>
      <c r="E68" s="10">
        <v>0</v>
      </c>
      <c r="F68" s="10">
        <v>6</v>
      </c>
      <c r="G68" s="10">
        <v>0</v>
      </c>
      <c r="H68" s="10">
        <v>1</v>
      </c>
      <c r="I68" s="10">
        <v>0</v>
      </c>
      <c r="J68" s="16">
        <v>0</v>
      </c>
      <c r="K68" s="10">
        <v>0</v>
      </c>
      <c r="L68" s="10">
        <v>2</v>
      </c>
      <c r="M68" s="10">
        <v>4</v>
      </c>
      <c r="N68" s="31">
        <v>0</v>
      </c>
      <c r="O68" s="10">
        <f t="shared" si="29"/>
        <v>669</v>
      </c>
      <c r="P68" s="10">
        <v>72</v>
      </c>
      <c r="Q68" s="149">
        <f t="shared" si="26"/>
        <v>-0.16479723899913717</v>
      </c>
      <c r="R68" s="150">
        <f t="shared" si="26"/>
        <v>4.5045045045045045E-3</v>
      </c>
      <c r="U68" s="139">
        <f t="shared" si="27"/>
        <v>-191</v>
      </c>
      <c r="V68" s="139">
        <f t="shared" si="28"/>
        <v>3</v>
      </c>
      <c r="X68" s="12">
        <v>1159</v>
      </c>
      <c r="Y68" s="12">
        <v>666</v>
      </c>
    </row>
    <row r="69" spans="1:25" ht="12.75" customHeight="1" x14ac:dyDescent="0.3">
      <c r="A69" s="25" t="s">
        <v>21</v>
      </c>
      <c r="B69" s="10">
        <v>781</v>
      </c>
      <c r="C69" s="10">
        <v>480</v>
      </c>
      <c r="D69" s="10">
        <v>23</v>
      </c>
      <c r="E69" s="10">
        <v>1</v>
      </c>
      <c r="F69" s="10">
        <v>27</v>
      </c>
      <c r="G69" s="10">
        <v>0</v>
      </c>
      <c r="H69" s="10">
        <v>9</v>
      </c>
      <c r="I69" s="10">
        <v>0</v>
      </c>
      <c r="J69" s="16">
        <v>0</v>
      </c>
      <c r="K69" s="10">
        <v>0</v>
      </c>
      <c r="L69" s="10">
        <v>0</v>
      </c>
      <c r="M69" s="10">
        <v>3</v>
      </c>
      <c r="N69" s="31">
        <v>6</v>
      </c>
      <c r="O69" s="10">
        <f t="shared" si="29"/>
        <v>543</v>
      </c>
      <c r="P69" s="10">
        <v>318</v>
      </c>
      <c r="Q69" s="147">
        <f t="shared" si="26"/>
        <v>-7.5739644970414202E-2</v>
      </c>
      <c r="R69" s="150">
        <f t="shared" si="26"/>
        <v>4.6242774566473986E-2</v>
      </c>
      <c r="U69" s="139">
        <f t="shared" si="27"/>
        <v>-64</v>
      </c>
      <c r="V69" s="139">
        <f t="shared" si="28"/>
        <v>24</v>
      </c>
      <c r="X69" s="12">
        <v>845</v>
      </c>
      <c r="Y69" s="12">
        <v>519</v>
      </c>
    </row>
    <row r="70" spans="1:25" ht="12.75" customHeight="1" thickBot="1" x14ac:dyDescent="0.35">
      <c r="A70" s="86" t="s">
        <v>22</v>
      </c>
      <c r="B70" s="11">
        <v>1360</v>
      </c>
      <c r="C70" s="11">
        <v>688</v>
      </c>
      <c r="D70" s="11">
        <v>11</v>
      </c>
      <c r="E70" s="11">
        <v>0</v>
      </c>
      <c r="F70" s="11">
        <v>9</v>
      </c>
      <c r="G70" s="11">
        <v>0</v>
      </c>
      <c r="H70" s="11">
        <v>16</v>
      </c>
      <c r="I70" s="11">
        <v>0</v>
      </c>
      <c r="J70" s="376">
        <v>0</v>
      </c>
      <c r="K70" s="10">
        <v>0</v>
      </c>
      <c r="L70" s="10">
        <v>0</v>
      </c>
      <c r="M70" s="10">
        <v>0</v>
      </c>
      <c r="N70" s="31">
        <v>0</v>
      </c>
      <c r="O70" s="10">
        <f t="shared" si="29"/>
        <v>724</v>
      </c>
      <c r="P70" s="10">
        <v>176</v>
      </c>
      <c r="Q70" s="151">
        <f t="shared" si="26"/>
        <v>0.7021276595744681</v>
      </c>
      <c r="R70" s="152">
        <f t="shared" si="26"/>
        <v>0.37904761904761902</v>
      </c>
      <c r="U70" s="409">
        <f t="shared" si="27"/>
        <v>561</v>
      </c>
      <c r="V70" s="409">
        <f t="shared" si="28"/>
        <v>199</v>
      </c>
      <c r="X70" s="410">
        <v>799</v>
      </c>
      <c r="Y70" s="410">
        <v>525</v>
      </c>
    </row>
    <row r="71" spans="1:25" ht="12.75" customHeight="1" x14ac:dyDescent="0.3">
      <c r="A71" s="36" t="s">
        <v>184</v>
      </c>
      <c r="B71" s="41">
        <f t="shared" ref="B71:P71" si="30">SUM(B59:B70)</f>
        <v>16490</v>
      </c>
      <c r="C71" s="41">
        <f t="shared" si="30"/>
        <v>7348</v>
      </c>
      <c r="D71" s="41">
        <f t="shared" si="30"/>
        <v>368</v>
      </c>
      <c r="E71" s="41">
        <f t="shared" si="30"/>
        <v>11</v>
      </c>
      <c r="F71" s="41">
        <f t="shared" si="30"/>
        <v>198</v>
      </c>
      <c r="G71" s="41">
        <f t="shared" si="30"/>
        <v>0</v>
      </c>
      <c r="H71" s="41">
        <f t="shared" si="30"/>
        <v>158</v>
      </c>
      <c r="I71" s="41">
        <f t="shared" si="30"/>
        <v>3</v>
      </c>
      <c r="J71" s="41">
        <f t="shared" si="30"/>
        <v>28</v>
      </c>
      <c r="K71" s="41">
        <f t="shared" si="30"/>
        <v>567</v>
      </c>
      <c r="L71" s="41">
        <f t="shared" si="30"/>
        <v>38</v>
      </c>
      <c r="M71" s="41">
        <f t="shared" si="30"/>
        <v>48</v>
      </c>
      <c r="N71" s="90">
        <f t="shared" si="30"/>
        <v>6</v>
      </c>
      <c r="O71" s="41">
        <f t="shared" si="30"/>
        <v>8767</v>
      </c>
      <c r="P71" s="91">
        <f t="shared" si="30"/>
        <v>3780</v>
      </c>
      <c r="Q71" s="153">
        <f t="shared" si="26"/>
        <v>-8.2992542699061832E-3</v>
      </c>
      <c r="R71" s="154">
        <f t="shared" si="26"/>
        <v>4.680597014925373E-2</v>
      </c>
      <c r="U71" s="139">
        <f>SUM(U59:U70)</f>
        <v>-138</v>
      </c>
      <c r="V71" s="139">
        <f>SUM(V59:V70)</f>
        <v>392</v>
      </c>
      <c r="X71" s="12">
        <f>SUM(X59:X70)</f>
        <v>16628</v>
      </c>
      <c r="Y71" s="12">
        <f>SUM(Y59:Y70)</f>
        <v>8375</v>
      </c>
    </row>
    <row r="72" spans="1:25" ht="12.75" customHeight="1" x14ac:dyDescent="0.3">
      <c r="A72" s="36" t="s">
        <v>108</v>
      </c>
      <c r="B72" s="411">
        <v>16628</v>
      </c>
      <c r="C72" s="411">
        <v>6767</v>
      </c>
      <c r="D72" s="411">
        <v>293</v>
      </c>
      <c r="E72" s="411">
        <v>29</v>
      </c>
      <c r="F72" s="411">
        <v>220</v>
      </c>
      <c r="G72" s="411">
        <v>4</v>
      </c>
      <c r="H72" s="411">
        <v>203</v>
      </c>
      <c r="I72" s="411">
        <v>0</v>
      </c>
      <c r="J72" s="411">
        <v>33</v>
      </c>
      <c r="K72" s="411">
        <v>727</v>
      </c>
      <c r="L72" s="411">
        <v>53</v>
      </c>
      <c r="M72" s="411">
        <v>46</v>
      </c>
      <c r="N72" s="411">
        <v>0</v>
      </c>
      <c r="O72" s="411">
        <v>8375</v>
      </c>
      <c r="P72" s="411">
        <v>4901</v>
      </c>
      <c r="Q72" s="251"/>
      <c r="R72" s="252"/>
    </row>
    <row r="73" spans="1:25" ht="12.75" customHeight="1" x14ac:dyDescent="0.3">
      <c r="A73" s="298" t="s">
        <v>23</v>
      </c>
      <c r="B73" s="412">
        <f t="shared" ref="B73:M73" si="31">B71-B72</f>
        <v>-138</v>
      </c>
      <c r="C73" s="412">
        <f t="shared" si="31"/>
        <v>581</v>
      </c>
      <c r="D73" s="412">
        <f t="shared" si="31"/>
        <v>75</v>
      </c>
      <c r="E73" s="412">
        <f t="shared" si="31"/>
        <v>-18</v>
      </c>
      <c r="F73" s="412">
        <f t="shared" si="31"/>
        <v>-22</v>
      </c>
      <c r="G73" s="412">
        <f t="shared" si="31"/>
        <v>-4</v>
      </c>
      <c r="H73" s="412">
        <f t="shared" si="31"/>
        <v>-45</v>
      </c>
      <c r="I73" s="412">
        <f t="shared" si="31"/>
        <v>3</v>
      </c>
      <c r="J73" s="412">
        <f t="shared" si="31"/>
        <v>-5</v>
      </c>
      <c r="K73" s="412">
        <f t="shared" si="31"/>
        <v>-160</v>
      </c>
      <c r="L73" s="412">
        <f t="shared" si="31"/>
        <v>-15</v>
      </c>
      <c r="M73" s="412">
        <f t="shared" si="31"/>
        <v>2</v>
      </c>
      <c r="N73" s="299">
        <v>0</v>
      </c>
      <c r="O73" s="412">
        <f>O71-O72</f>
        <v>392</v>
      </c>
      <c r="P73" s="413">
        <f>P71-P72</f>
        <v>-1121</v>
      </c>
      <c r="Q73" s="7"/>
      <c r="R73" s="58"/>
    </row>
    <row r="75" spans="1:25" ht="12.75" customHeight="1" x14ac:dyDescent="0.25">
      <c r="C75" s="332"/>
      <c r="D75" s="333"/>
      <c r="E75" s="333"/>
      <c r="F75" s="333"/>
      <c r="G75" s="333"/>
      <c r="H75" s="333"/>
      <c r="I75" s="333"/>
      <c r="J75" s="333"/>
      <c r="K75" s="333"/>
      <c r="L75" s="333"/>
      <c r="M75" s="334"/>
    </row>
    <row r="76" spans="1:25" ht="12.75" customHeight="1" x14ac:dyDescent="0.25">
      <c r="C76" s="25"/>
      <c r="D76" s="3" t="s">
        <v>190</v>
      </c>
      <c r="H76" s="335" t="s">
        <v>192</v>
      </c>
      <c r="M76" s="337"/>
    </row>
    <row r="77" spans="1:25" ht="12.75" customHeight="1" x14ac:dyDescent="0.25">
      <c r="C77" s="86"/>
      <c r="D77" s="4"/>
      <c r="E77" s="4"/>
      <c r="F77" s="4"/>
      <c r="G77" s="4"/>
      <c r="H77" s="4"/>
      <c r="I77" s="4"/>
      <c r="J77" s="4"/>
      <c r="K77" s="4"/>
      <c r="L77" s="4"/>
      <c r="M77" s="97"/>
    </row>
    <row r="79" spans="1:25" ht="12.75" customHeight="1" x14ac:dyDescent="0.3">
      <c r="A79" s="122" t="s">
        <v>0</v>
      </c>
      <c r="B79" s="26" t="s">
        <v>1</v>
      </c>
      <c r="C79" s="26" t="s">
        <v>2</v>
      </c>
      <c r="D79" s="26" t="s">
        <v>52</v>
      </c>
      <c r="E79" s="26" t="s">
        <v>53</v>
      </c>
      <c r="F79" s="26" t="s">
        <v>3</v>
      </c>
      <c r="G79" s="26" t="s">
        <v>4</v>
      </c>
      <c r="H79" s="26" t="s">
        <v>5</v>
      </c>
      <c r="I79" s="26" t="s">
        <v>57</v>
      </c>
      <c r="J79" s="26" t="s">
        <v>46</v>
      </c>
      <c r="K79" s="122" t="s">
        <v>58</v>
      </c>
      <c r="L79" s="122" t="s">
        <v>47</v>
      </c>
      <c r="M79" s="122" t="s">
        <v>6</v>
      </c>
      <c r="N79" s="393" t="s">
        <v>7</v>
      </c>
      <c r="O79" s="122" t="s">
        <v>8</v>
      </c>
      <c r="P79" s="26" t="s">
        <v>10</v>
      </c>
      <c r="Q79" s="408" t="s">
        <v>1</v>
      </c>
      <c r="R79" s="408" t="s">
        <v>9</v>
      </c>
      <c r="U79" s="101" t="s">
        <v>129</v>
      </c>
      <c r="V79" s="101" t="s">
        <v>130</v>
      </c>
      <c r="W79" s="101"/>
      <c r="X79" s="101" t="s">
        <v>103</v>
      </c>
      <c r="Y79" s="101" t="s">
        <v>104</v>
      </c>
    </row>
    <row r="80" spans="1:25" ht="12.75" customHeight="1" x14ac:dyDescent="0.3">
      <c r="A80" s="25" t="s">
        <v>11</v>
      </c>
      <c r="B80" s="10">
        <v>649</v>
      </c>
      <c r="C80" s="10">
        <v>440</v>
      </c>
      <c r="D80" s="10">
        <v>4</v>
      </c>
      <c r="E80" s="10">
        <v>1</v>
      </c>
      <c r="F80" s="10">
        <v>4</v>
      </c>
      <c r="G80" s="10">
        <v>0</v>
      </c>
      <c r="H80" s="10">
        <v>5</v>
      </c>
      <c r="I80" s="10">
        <v>0</v>
      </c>
      <c r="J80" s="16">
        <v>0</v>
      </c>
      <c r="K80" s="10">
        <v>0</v>
      </c>
      <c r="L80" s="10">
        <v>0</v>
      </c>
      <c r="M80" s="10">
        <v>0</v>
      </c>
      <c r="N80" s="31">
        <v>0</v>
      </c>
      <c r="O80" s="10">
        <f>SUM(C80:M80)</f>
        <v>454</v>
      </c>
      <c r="P80" s="10">
        <v>85</v>
      </c>
      <c r="Q80" s="145">
        <f t="shared" ref="Q80:R92" si="32">U80/X80</f>
        <v>-0.15494791666666666</v>
      </c>
      <c r="R80" s="146">
        <f t="shared" si="32"/>
        <v>-9.5617529880478086E-2</v>
      </c>
      <c r="U80" s="139">
        <f t="shared" ref="U80:U91" si="33">B80-X80</f>
        <v>-119</v>
      </c>
      <c r="V80" s="139">
        <f t="shared" ref="V80:V91" si="34">O80-Y80</f>
        <v>-48</v>
      </c>
      <c r="X80" s="12">
        <v>768</v>
      </c>
      <c r="Y80" s="12">
        <v>502</v>
      </c>
    </row>
    <row r="81" spans="1:25" ht="12.75" customHeight="1" x14ac:dyDescent="0.3">
      <c r="A81" s="25" t="s">
        <v>12</v>
      </c>
      <c r="B81" s="10">
        <v>601</v>
      </c>
      <c r="C81" s="10">
        <v>396</v>
      </c>
      <c r="D81" s="10">
        <v>8</v>
      </c>
      <c r="E81" s="10">
        <v>1</v>
      </c>
      <c r="F81" s="10">
        <v>4</v>
      </c>
      <c r="G81" s="10">
        <v>0</v>
      </c>
      <c r="H81" s="10">
        <v>13</v>
      </c>
      <c r="I81" s="10">
        <v>0</v>
      </c>
      <c r="J81" s="16">
        <v>0</v>
      </c>
      <c r="K81" s="10">
        <v>0</v>
      </c>
      <c r="L81" s="10">
        <v>0</v>
      </c>
      <c r="M81" s="10">
        <v>0</v>
      </c>
      <c r="N81" s="31">
        <v>0</v>
      </c>
      <c r="O81" s="10">
        <f>SUM(C81:N81)</f>
        <v>422</v>
      </c>
      <c r="P81" s="10">
        <v>413</v>
      </c>
      <c r="Q81" s="147">
        <f t="shared" si="32"/>
        <v>-0.12645348837209303</v>
      </c>
      <c r="R81" s="148">
        <f t="shared" si="32"/>
        <v>-2.9885057471264367E-2</v>
      </c>
      <c r="U81" s="139">
        <f t="shared" si="33"/>
        <v>-87</v>
      </c>
      <c r="V81" s="139">
        <f t="shared" si="34"/>
        <v>-13</v>
      </c>
      <c r="X81" s="12">
        <v>688</v>
      </c>
      <c r="Y81" s="12">
        <v>435</v>
      </c>
    </row>
    <row r="82" spans="1:25" ht="12.75" customHeight="1" x14ac:dyDescent="0.3">
      <c r="A82" s="25" t="s">
        <v>13</v>
      </c>
      <c r="B82" s="414">
        <v>617</v>
      </c>
      <c r="C82" s="414">
        <v>393</v>
      </c>
      <c r="D82" s="414">
        <v>24</v>
      </c>
      <c r="E82" s="414">
        <v>1</v>
      </c>
      <c r="F82" s="414">
        <v>10</v>
      </c>
      <c r="G82" s="414">
        <v>0</v>
      </c>
      <c r="H82" s="414">
        <v>12</v>
      </c>
      <c r="I82" s="414">
        <v>0</v>
      </c>
      <c r="J82" s="414">
        <v>0</v>
      </c>
      <c r="K82" s="414">
        <v>0</v>
      </c>
      <c r="L82" s="414">
        <v>0</v>
      </c>
      <c r="M82" s="414">
        <v>0</v>
      </c>
      <c r="N82" s="31">
        <v>0</v>
      </c>
      <c r="O82" s="10">
        <f>SUM(C82:M82)</f>
        <v>440</v>
      </c>
      <c r="P82" s="10"/>
      <c r="Q82" s="149">
        <f t="shared" si="32"/>
        <v>-0.19346405228758171</v>
      </c>
      <c r="R82" s="150">
        <f t="shared" si="32"/>
        <v>-9.0909090909090912E-2</v>
      </c>
      <c r="U82" s="139">
        <f t="shared" si="33"/>
        <v>-148</v>
      </c>
      <c r="V82" s="139">
        <f t="shared" si="34"/>
        <v>-44</v>
      </c>
      <c r="X82" s="12">
        <v>765</v>
      </c>
      <c r="Y82" s="12">
        <v>484</v>
      </c>
    </row>
    <row r="83" spans="1:25" ht="12.75" customHeight="1" x14ac:dyDescent="0.3">
      <c r="A83" s="25" t="s">
        <v>14</v>
      </c>
      <c r="B83" s="10">
        <v>661</v>
      </c>
      <c r="C83" s="10">
        <v>422</v>
      </c>
      <c r="D83" s="10">
        <v>39</v>
      </c>
      <c r="E83" s="10">
        <v>3</v>
      </c>
      <c r="F83" s="10">
        <v>17</v>
      </c>
      <c r="G83" s="10">
        <v>0</v>
      </c>
      <c r="H83" s="10">
        <v>10</v>
      </c>
      <c r="I83" s="10">
        <v>0</v>
      </c>
      <c r="J83" s="16">
        <v>0</v>
      </c>
      <c r="K83" s="10">
        <v>0</v>
      </c>
      <c r="L83" s="10">
        <v>0</v>
      </c>
      <c r="M83" s="10">
        <v>0</v>
      </c>
      <c r="N83" s="31">
        <v>0</v>
      </c>
      <c r="O83" s="10">
        <f>SUM(C83:M83)</f>
        <v>491</v>
      </c>
      <c r="P83" s="10">
        <v>449</v>
      </c>
      <c r="Q83" s="149">
        <f t="shared" si="32"/>
        <v>-0.35825242718446604</v>
      </c>
      <c r="R83" s="150">
        <f t="shared" si="32"/>
        <v>-0.18976897689768976</v>
      </c>
      <c r="U83" s="139">
        <f t="shared" si="33"/>
        <v>-369</v>
      </c>
      <c r="V83" s="139">
        <f t="shared" si="34"/>
        <v>-115</v>
      </c>
      <c r="X83" s="12">
        <v>1030</v>
      </c>
      <c r="Y83" s="12">
        <v>606</v>
      </c>
    </row>
    <row r="84" spans="1:25" ht="12.75" customHeight="1" x14ac:dyDescent="0.3">
      <c r="A84" s="25" t="s">
        <v>15</v>
      </c>
      <c r="B84" s="10">
        <v>1207</v>
      </c>
      <c r="C84" s="10">
        <v>624</v>
      </c>
      <c r="D84" s="10">
        <v>62</v>
      </c>
      <c r="E84" s="10">
        <v>0</v>
      </c>
      <c r="F84" s="10">
        <v>24</v>
      </c>
      <c r="G84" s="10">
        <v>0</v>
      </c>
      <c r="H84" s="10">
        <v>11</v>
      </c>
      <c r="I84" s="10">
        <v>2</v>
      </c>
      <c r="J84" s="16">
        <v>2</v>
      </c>
      <c r="K84" s="10">
        <v>16</v>
      </c>
      <c r="L84" s="10">
        <v>0</v>
      </c>
      <c r="M84" s="10">
        <v>2</v>
      </c>
      <c r="N84" s="31">
        <v>0</v>
      </c>
      <c r="O84" s="10">
        <f t="shared" ref="O84:O91" si="35">SUM(C84:M84)</f>
        <v>743</v>
      </c>
      <c r="P84" s="10">
        <v>575</v>
      </c>
      <c r="Q84" s="149">
        <f t="shared" si="32"/>
        <v>-9.3843843843843838E-2</v>
      </c>
      <c r="R84" s="150">
        <f t="shared" si="32"/>
        <v>1.7808219178082191E-2</v>
      </c>
      <c r="U84" s="139">
        <f t="shared" si="33"/>
        <v>-125</v>
      </c>
      <c r="V84" s="139">
        <f t="shared" si="34"/>
        <v>13</v>
      </c>
      <c r="X84" s="12">
        <v>1332</v>
      </c>
      <c r="Y84" s="12">
        <v>730</v>
      </c>
    </row>
    <row r="85" spans="1:25" ht="12.75" customHeight="1" x14ac:dyDescent="0.3">
      <c r="A85" s="25" t="s">
        <v>16</v>
      </c>
      <c r="B85" s="10">
        <v>1953</v>
      </c>
      <c r="C85" s="10">
        <v>726</v>
      </c>
      <c r="D85" s="10">
        <v>46</v>
      </c>
      <c r="E85" s="10">
        <v>3</v>
      </c>
      <c r="F85" s="10">
        <v>30</v>
      </c>
      <c r="G85" s="10">
        <v>0</v>
      </c>
      <c r="H85" s="10">
        <v>1</v>
      </c>
      <c r="I85" s="10">
        <v>1</v>
      </c>
      <c r="J85" s="16">
        <v>6</v>
      </c>
      <c r="K85" s="10">
        <v>142</v>
      </c>
      <c r="L85" s="10">
        <v>8</v>
      </c>
      <c r="M85" s="10">
        <v>9</v>
      </c>
      <c r="N85" s="31">
        <v>0</v>
      </c>
      <c r="O85" s="10">
        <f t="shared" si="35"/>
        <v>972</v>
      </c>
      <c r="P85" s="10">
        <v>452</v>
      </c>
      <c r="Q85" s="149">
        <f t="shared" si="32"/>
        <v>-0.13850904278782533</v>
      </c>
      <c r="R85" s="150">
        <f t="shared" si="32"/>
        <v>-0.10907424381301559</v>
      </c>
      <c r="U85" s="139">
        <f t="shared" si="33"/>
        <v>-314</v>
      </c>
      <c r="V85" s="139">
        <f t="shared" si="34"/>
        <v>-119</v>
      </c>
      <c r="X85" s="12">
        <v>2267</v>
      </c>
      <c r="Y85" s="12">
        <v>1091</v>
      </c>
    </row>
    <row r="86" spans="1:25" ht="12.75" customHeight="1" x14ac:dyDescent="0.3">
      <c r="A86" s="25" t="s">
        <v>17</v>
      </c>
      <c r="B86" s="10">
        <v>3340</v>
      </c>
      <c r="C86" s="10">
        <v>1028</v>
      </c>
      <c r="D86" s="10">
        <v>53</v>
      </c>
      <c r="E86" s="10">
        <v>3</v>
      </c>
      <c r="F86" s="10">
        <v>27</v>
      </c>
      <c r="G86" s="10">
        <v>0</v>
      </c>
      <c r="H86" s="10">
        <v>24</v>
      </c>
      <c r="I86" s="10">
        <v>1</v>
      </c>
      <c r="J86" s="16">
        <v>33</v>
      </c>
      <c r="K86" s="10">
        <v>308</v>
      </c>
      <c r="L86" s="10">
        <v>10</v>
      </c>
      <c r="M86" s="10">
        <v>2</v>
      </c>
      <c r="N86" s="31">
        <v>0</v>
      </c>
      <c r="O86" s="10">
        <f t="shared" si="35"/>
        <v>1489</v>
      </c>
      <c r="P86" s="10">
        <v>382</v>
      </c>
      <c r="Q86" s="149">
        <f t="shared" si="32"/>
        <v>-3.1884057971014491E-2</v>
      </c>
      <c r="R86" s="150">
        <f t="shared" si="32"/>
        <v>5.2296819787985865E-2</v>
      </c>
      <c r="U86" s="139">
        <f t="shared" si="33"/>
        <v>-110</v>
      </c>
      <c r="V86" s="139">
        <f t="shared" si="34"/>
        <v>74</v>
      </c>
      <c r="X86" s="12">
        <v>3450</v>
      </c>
      <c r="Y86" s="12">
        <v>1415</v>
      </c>
    </row>
    <row r="87" spans="1:25" ht="12.75" customHeight="1" x14ac:dyDescent="0.3">
      <c r="A87" s="25" t="s">
        <v>18</v>
      </c>
      <c r="B87" s="10"/>
      <c r="C87" s="10"/>
      <c r="D87" s="10"/>
      <c r="E87" s="10"/>
      <c r="F87" s="10"/>
      <c r="G87" s="10"/>
      <c r="H87" s="10"/>
      <c r="I87" s="10"/>
      <c r="J87" s="16"/>
      <c r="K87" s="10"/>
      <c r="L87" s="10"/>
      <c r="M87" s="10"/>
      <c r="N87" s="31"/>
      <c r="O87" s="10">
        <f t="shared" si="35"/>
        <v>0</v>
      </c>
      <c r="P87" s="10"/>
      <c r="Q87" s="149">
        <f t="shared" si="32"/>
        <v>-1</v>
      </c>
      <c r="R87" s="150">
        <f t="shared" si="32"/>
        <v>-1</v>
      </c>
      <c r="U87" s="139">
        <f t="shared" si="33"/>
        <v>-1971</v>
      </c>
      <c r="V87" s="139">
        <f t="shared" si="34"/>
        <v>-934</v>
      </c>
      <c r="X87" s="12">
        <v>1971</v>
      </c>
      <c r="Y87" s="12">
        <v>934</v>
      </c>
    </row>
    <row r="88" spans="1:25" ht="12.75" customHeight="1" x14ac:dyDescent="0.3">
      <c r="A88" s="25" t="s">
        <v>19</v>
      </c>
      <c r="B88" s="10"/>
      <c r="C88" s="10"/>
      <c r="D88" s="10"/>
      <c r="E88" s="10"/>
      <c r="F88" s="10"/>
      <c r="G88" s="10"/>
      <c r="H88" s="10"/>
      <c r="I88" s="10"/>
      <c r="J88" s="16"/>
      <c r="K88" s="10"/>
      <c r="L88" s="10"/>
      <c r="M88" s="10"/>
      <c r="N88" s="31"/>
      <c r="O88" s="10">
        <f t="shared" si="35"/>
        <v>0</v>
      </c>
      <c r="P88" s="10"/>
      <c r="Q88" s="149">
        <f t="shared" si="32"/>
        <v>-1</v>
      </c>
      <c r="R88" s="150">
        <f t="shared" si="32"/>
        <v>-1</v>
      </c>
      <c r="U88" s="139">
        <f t="shared" si="33"/>
        <v>-1110</v>
      </c>
      <c r="V88" s="139">
        <f t="shared" si="34"/>
        <v>-634</v>
      </c>
      <c r="X88" s="12">
        <v>1110</v>
      </c>
      <c r="Y88" s="12">
        <v>634</v>
      </c>
    </row>
    <row r="89" spans="1:25" ht="12.75" customHeight="1" x14ac:dyDescent="0.3">
      <c r="A89" s="25" t="s">
        <v>20</v>
      </c>
      <c r="B89" s="10"/>
      <c r="C89" s="10"/>
      <c r="D89" s="10"/>
      <c r="E89" s="10"/>
      <c r="F89" s="10"/>
      <c r="G89" s="10"/>
      <c r="H89" s="10"/>
      <c r="I89" s="10"/>
      <c r="J89" s="16"/>
      <c r="K89" s="10"/>
      <c r="L89" s="10"/>
      <c r="M89" s="10"/>
      <c r="N89" s="31"/>
      <c r="O89" s="10">
        <f t="shared" si="35"/>
        <v>0</v>
      </c>
      <c r="P89" s="10"/>
      <c r="Q89" s="149">
        <f t="shared" si="32"/>
        <v>-1</v>
      </c>
      <c r="R89" s="150">
        <f t="shared" si="32"/>
        <v>-1</v>
      </c>
      <c r="U89" s="139">
        <f t="shared" si="33"/>
        <v>-968</v>
      </c>
      <c r="V89" s="139">
        <f t="shared" si="34"/>
        <v>-669</v>
      </c>
      <c r="X89" s="12">
        <v>968</v>
      </c>
      <c r="Y89" s="12">
        <v>669</v>
      </c>
    </row>
    <row r="90" spans="1:25" ht="12.75" customHeight="1" x14ac:dyDescent="0.3">
      <c r="A90" s="25" t="s">
        <v>21</v>
      </c>
      <c r="B90" s="10"/>
      <c r="C90" s="10"/>
      <c r="D90" s="10"/>
      <c r="E90" s="10"/>
      <c r="F90" s="10"/>
      <c r="G90" s="10"/>
      <c r="H90" s="10"/>
      <c r="I90" s="10"/>
      <c r="J90" s="16"/>
      <c r="K90" s="10"/>
      <c r="L90" s="10"/>
      <c r="M90" s="10"/>
      <c r="N90" s="31"/>
      <c r="O90" s="10">
        <f t="shared" si="35"/>
        <v>0</v>
      </c>
      <c r="P90" s="10"/>
      <c r="Q90" s="147">
        <f t="shared" si="32"/>
        <v>-1</v>
      </c>
      <c r="R90" s="150">
        <f t="shared" si="32"/>
        <v>-1</v>
      </c>
      <c r="U90" s="139">
        <f t="shared" si="33"/>
        <v>-781</v>
      </c>
      <c r="V90" s="139">
        <f t="shared" si="34"/>
        <v>-543</v>
      </c>
      <c r="X90" s="12">
        <v>781</v>
      </c>
      <c r="Y90" s="12">
        <v>543</v>
      </c>
    </row>
    <row r="91" spans="1:25" ht="12.75" customHeight="1" thickBot="1" x14ac:dyDescent="0.35">
      <c r="A91" s="86" t="s">
        <v>22</v>
      </c>
      <c r="B91" s="11"/>
      <c r="C91" s="11"/>
      <c r="D91" s="11"/>
      <c r="E91" s="11"/>
      <c r="F91" s="11"/>
      <c r="G91" s="11"/>
      <c r="H91" s="11"/>
      <c r="I91" s="11"/>
      <c r="J91" s="376"/>
      <c r="K91" s="10"/>
      <c r="L91" s="10"/>
      <c r="M91" s="10"/>
      <c r="N91" s="31"/>
      <c r="O91" s="10">
        <f t="shared" si="35"/>
        <v>0</v>
      </c>
      <c r="P91" s="10"/>
      <c r="Q91" s="151">
        <f t="shared" si="32"/>
        <v>-1</v>
      </c>
      <c r="R91" s="152">
        <f t="shared" si="32"/>
        <v>-1</v>
      </c>
      <c r="U91" s="409">
        <f t="shared" si="33"/>
        <v>-1360</v>
      </c>
      <c r="V91" s="409">
        <f t="shared" si="34"/>
        <v>-724</v>
      </c>
      <c r="X91" s="410">
        <v>1360</v>
      </c>
      <c r="Y91" s="410">
        <v>724</v>
      </c>
    </row>
    <row r="92" spans="1:25" ht="12.75" customHeight="1" x14ac:dyDescent="0.3">
      <c r="A92" s="36" t="s">
        <v>188</v>
      </c>
      <c r="B92" s="41">
        <f t="shared" ref="B92:P92" si="36">SUM(B80:B91)</f>
        <v>9028</v>
      </c>
      <c r="C92" s="41">
        <f t="shared" si="36"/>
        <v>4029</v>
      </c>
      <c r="D92" s="41">
        <f t="shared" si="36"/>
        <v>236</v>
      </c>
      <c r="E92" s="41">
        <f t="shared" si="36"/>
        <v>12</v>
      </c>
      <c r="F92" s="41">
        <f t="shared" si="36"/>
        <v>116</v>
      </c>
      <c r="G92" s="41">
        <f t="shared" si="36"/>
        <v>0</v>
      </c>
      <c r="H92" s="41">
        <f t="shared" si="36"/>
        <v>76</v>
      </c>
      <c r="I92" s="41">
        <f t="shared" si="36"/>
        <v>4</v>
      </c>
      <c r="J92" s="41">
        <f t="shared" si="36"/>
        <v>41</v>
      </c>
      <c r="K92" s="41">
        <f t="shared" si="36"/>
        <v>466</v>
      </c>
      <c r="L92" s="41">
        <f t="shared" si="36"/>
        <v>18</v>
      </c>
      <c r="M92" s="41">
        <f t="shared" si="36"/>
        <v>13</v>
      </c>
      <c r="N92" s="90">
        <f t="shared" si="36"/>
        <v>0</v>
      </c>
      <c r="O92" s="41">
        <f t="shared" si="36"/>
        <v>5011</v>
      </c>
      <c r="P92" s="91">
        <f t="shared" si="36"/>
        <v>2356</v>
      </c>
      <c r="Q92" s="153">
        <f t="shared" si="32"/>
        <v>-0.45251667677380231</v>
      </c>
      <c r="R92" s="154">
        <f t="shared" si="32"/>
        <v>-0.42842477472339457</v>
      </c>
      <c r="U92" s="139">
        <f>SUM(U80:U91)</f>
        <v>-7462</v>
      </c>
      <c r="V92" s="139">
        <f>SUM(V80:V91)</f>
        <v>-3756</v>
      </c>
      <c r="X92" s="12">
        <f>SUM(X80:X91)</f>
        <v>16490</v>
      </c>
      <c r="Y92" s="12">
        <f>SUM(Y80:Y91)</f>
        <v>8767</v>
      </c>
    </row>
    <row r="93" spans="1:25" ht="12.75" customHeight="1" x14ac:dyDescent="0.3">
      <c r="A93" s="36" t="s">
        <v>184</v>
      </c>
      <c r="B93" s="411">
        <v>16490</v>
      </c>
      <c r="C93" s="411">
        <v>7348</v>
      </c>
      <c r="D93" s="411">
        <v>368</v>
      </c>
      <c r="E93" s="411">
        <v>11</v>
      </c>
      <c r="F93" s="411">
        <v>198</v>
      </c>
      <c r="G93" s="411">
        <v>0</v>
      </c>
      <c r="H93" s="411">
        <v>158</v>
      </c>
      <c r="I93" s="411">
        <v>3</v>
      </c>
      <c r="J93" s="411">
        <v>28</v>
      </c>
      <c r="K93" s="411">
        <v>567</v>
      </c>
      <c r="L93" s="411">
        <v>38</v>
      </c>
      <c r="M93" s="411">
        <v>48</v>
      </c>
      <c r="N93" s="411">
        <v>6</v>
      </c>
      <c r="O93" s="411">
        <v>8767</v>
      </c>
      <c r="P93" s="411">
        <v>3780</v>
      </c>
      <c r="Q93" s="251"/>
      <c r="R93" s="252"/>
    </row>
    <row r="94" spans="1:25" ht="12.75" customHeight="1" x14ac:dyDescent="0.3">
      <c r="A94" s="298" t="s">
        <v>23</v>
      </c>
      <c r="B94" s="412">
        <f t="shared" ref="B94:M94" si="37">B92-B93</f>
        <v>-7462</v>
      </c>
      <c r="C94" s="412">
        <f t="shared" si="37"/>
        <v>-3319</v>
      </c>
      <c r="D94" s="412">
        <f t="shared" si="37"/>
        <v>-132</v>
      </c>
      <c r="E94" s="412">
        <f t="shared" si="37"/>
        <v>1</v>
      </c>
      <c r="F94" s="412">
        <f t="shared" si="37"/>
        <v>-82</v>
      </c>
      <c r="G94" s="412">
        <f t="shared" si="37"/>
        <v>0</v>
      </c>
      <c r="H94" s="412">
        <f t="shared" si="37"/>
        <v>-82</v>
      </c>
      <c r="I94" s="412">
        <f t="shared" si="37"/>
        <v>1</v>
      </c>
      <c r="J94" s="412">
        <f t="shared" si="37"/>
        <v>13</v>
      </c>
      <c r="K94" s="412">
        <f t="shared" si="37"/>
        <v>-101</v>
      </c>
      <c r="L94" s="412">
        <f t="shared" si="37"/>
        <v>-20</v>
      </c>
      <c r="M94" s="412">
        <f t="shared" si="37"/>
        <v>-35</v>
      </c>
      <c r="N94" s="299">
        <v>0</v>
      </c>
      <c r="O94" s="412">
        <f>O92-O93</f>
        <v>-3756</v>
      </c>
      <c r="P94" s="413">
        <f>P92-P93</f>
        <v>-1424</v>
      </c>
      <c r="Q94" s="7"/>
      <c r="R94" s="58"/>
    </row>
  </sheetData>
  <phoneticPr fontId="4" type="noConversion"/>
  <printOptions gridLines="1"/>
  <pageMargins left="0.59055118110236227" right="0.39370078740157483" top="0.78740157480314965" bottom="0.78740157480314965" header="0.51181102362204722" footer="0.51181102362204722"/>
  <pageSetup paperSize="9" scale="10"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5A6375-282A-4F01-9D49-40C76975A944}">
  <dimension ref="A3:R91"/>
  <sheetViews>
    <sheetView topLeftCell="A49" workbookViewId="0">
      <selection activeCell="P49" sqref="P49"/>
    </sheetView>
  </sheetViews>
  <sheetFormatPr defaultRowHeight="12.5" x14ac:dyDescent="0.25"/>
  <sheetData>
    <row r="3" spans="1:18" ht="12.75" customHeight="1" x14ac:dyDescent="0.25"/>
    <row r="4" spans="1:18" ht="12.75" customHeight="1" x14ac:dyDescent="0.25"/>
    <row r="5" spans="1:18" ht="12.75" customHeight="1" x14ac:dyDescent="0.25"/>
    <row r="6" spans="1:18" ht="12.75" customHeight="1" x14ac:dyDescent="0.25"/>
    <row r="7" spans="1:18" ht="12.75" customHeight="1" x14ac:dyDescent="0.25"/>
    <row r="8" spans="1:18" ht="13" x14ac:dyDescent="0.3">
      <c r="A8" s="1" t="s">
        <v>0</v>
      </c>
      <c r="B8" s="2" t="s">
        <v>1</v>
      </c>
      <c r="C8" s="2" t="s">
        <v>2</v>
      </c>
      <c r="D8" s="2" t="s">
        <v>3</v>
      </c>
      <c r="E8" s="2" t="s">
        <v>4</v>
      </c>
      <c r="F8" s="2" t="s">
        <v>5</v>
      </c>
      <c r="G8" s="2" t="s">
        <v>6</v>
      </c>
      <c r="H8" s="32" t="s">
        <v>7</v>
      </c>
      <c r="I8" s="1" t="s">
        <v>8</v>
      </c>
      <c r="J8" s="2" t="s">
        <v>10</v>
      </c>
      <c r="K8" s="2" t="s">
        <v>1</v>
      </c>
      <c r="L8" s="2" t="s">
        <v>9</v>
      </c>
      <c r="N8" s="163" t="s">
        <v>94</v>
      </c>
      <c r="O8" s="163" t="s">
        <v>95</v>
      </c>
      <c r="P8" s="164"/>
      <c r="Q8" s="163" t="s">
        <v>87</v>
      </c>
      <c r="R8" s="163" t="s">
        <v>88</v>
      </c>
    </row>
    <row r="9" spans="1:18" ht="13" x14ac:dyDescent="0.3">
      <c r="A9" t="s">
        <v>11</v>
      </c>
      <c r="B9" s="10">
        <v>751</v>
      </c>
      <c r="C9" s="10">
        <v>491</v>
      </c>
      <c r="D9" s="10">
        <v>36</v>
      </c>
      <c r="E9" s="10">
        <v>0</v>
      </c>
      <c r="F9" s="10">
        <v>10</v>
      </c>
      <c r="G9" s="10">
        <v>0</v>
      </c>
      <c r="H9" s="31">
        <v>0</v>
      </c>
      <c r="I9" s="10">
        <f>SUM(C9:G9)</f>
        <v>537</v>
      </c>
      <c r="J9" s="10">
        <v>396</v>
      </c>
      <c r="K9" s="300">
        <f>N9/Q9</f>
        <v>-5.889724310776942E-2</v>
      </c>
      <c r="L9" s="301">
        <f>O9/R9</f>
        <v>-4.9557522123893805E-2</v>
      </c>
      <c r="M9" s="45"/>
      <c r="N9" s="139">
        <f t="shared" ref="N9:N14" si="0">B9-Q9</f>
        <v>-47</v>
      </c>
      <c r="O9" s="139">
        <f>I9-R9</f>
        <v>-28</v>
      </c>
      <c r="Q9" s="12">
        <v>798</v>
      </c>
      <c r="R9" s="12">
        <v>565</v>
      </c>
    </row>
    <row r="10" spans="1:18" ht="13" x14ac:dyDescent="0.3">
      <c r="A10" t="s">
        <v>12</v>
      </c>
      <c r="B10" s="10">
        <v>604</v>
      </c>
      <c r="C10" s="10">
        <v>424</v>
      </c>
      <c r="D10" s="10">
        <v>18</v>
      </c>
      <c r="E10" s="10">
        <v>0</v>
      </c>
      <c r="F10" s="10">
        <v>13</v>
      </c>
      <c r="G10" s="10">
        <v>0</v>
      </c>
      <c r="H10" s="31">
        <v>0</v>
      </c>
      <c r="I10" s="10">
        <f t="shared" ref="I10:I19" si="1">SUM(C10:G10)</f>
        <v>455</v>
      </c>
      <c r="J10" s="10">
        <v>222</v>
      </c>
      <c r="K10" s="300">
        <f>N10/Q10</f>
        <v>-0.29274004683840749</v>
      </c>
      <c r="L10" s="302">
        <f t="shared" ref="L10:L21" si="2">O10/R10</f>
        <v>4.5977011494252873E-2</v>
      </c>
      <c r="N10" s="139">
        <f t="shared" si="0"/>
        <v>-250</v>
      </c>
      <c r="O10" s="139">
        <f>I10-R10</f>
        <v>20</v>
      </c>
      <c r="Q10" s="12">
        <v>854</v>
      </c>
      <c r="R10" s="12">
        <v>435</v>
      </c>
    </row>
    <row r="11" spans="1:18" ht="13" x14ac:dyDescent="0.3">
      <c r="A11" t="s">
        <v>13</v>
      </c>
      <c r="B11" s="10">
        <v>781</v>
      </c>
      <c r="C11" s="10">
        <v>552</v>
      </c>
      <c r="D11" s="10">
        <v>22</v>
      </c>
      <c r="E11" s="10">
        <v>0</v>
      </c>
      <c r="F11" s="10">
        <v>27</v>
      </c>
      <c r="G11" s="10">
        <v>0</v>
      </c>
      <c r="H11" s="31">
        <v>0</v>
      </c>
      <c r="I11" s="10">
        <f t="shared" si="1"/>
        <v>601</v>
      </c>
      <c r="J11" s="10">
        <v>240</v>
      </c>
      <c r="K11" s="300">
        <f t="shared" ref="K11:K14" si="3">N11/Q11</f>
        <v>-0.24831568816169394</v>
      </c>
      <c r="L11" s="302">
        <f t="shared" si="2"/>
        <v>-0.19973368841544606</v>
      </c>
      <c r="N11" s="139">
        <f t="shared" si="0"/>
        <v>-258</v>
      </c>
      <c r="O11" s="139">
        <f>I11-R11</f>
        <v>-150</v>
      </c>
      <c r="Q11" s="12">
        <v>1039</v>
      </c>
      <c r="R11" s="12">
        <v>751</v>
      </c>
    </row>
    <row r="12" spans="1:18" ht="13" x14ac:dyDescent="0.3">
      <c r="A12" t="s">
        <v>14</v>
      </c>
      <c r="B12" s="10">
        <v>1006</v>
      </c>
      <c r="C12" s="10">
        <v>650</v>
      </c>
      <c r="D12" s="10">
        <v>32</v>
      </c>
      <c r="E12" s="10">
        <v>0</v>
      </c>
      <c r="F12" s="10">
        <v>66</v>
      </c>
      <c r="G12" s="10">
        <v>5</v>
      </c>
      <c r="H12" s="31">
        <v>0</v>
      </c>
      <c r="I12" s="10">
        <f t="shared" si="1"/>
        <v>753</v>
      </c>
      <c r="J12" s="10">
        <v>386</v>
      </c>
      <c r="K12" s="300">
        <f t="shared" si="3"/>
        <v>5.783385909568875E-2</v>
      </c>
      <c r="L12" s="302">
        <f t="shared" si="2"/>
        <v>0.17656250000000001</v>
      </c>
      <c r="M12" s="45"/>
      <c r="N12" s="139">
        <f t="shared" si="0"/>
        <v>55</v>
      </c>
      <c r="O12" s="139">
        <f t="shared" ref="O12:O20" si="4">I12-R12</f>
        <v>113</v>
      </c>
      <c r="Q12" s="12">
        <v>951</v>
      </c>
      <c r="R12" s="12">
        <v>640</v>
      </c>
    </row>
    <row r="13" spans="1:18" ht="13" x14ac:dyDescent="0.3">
      <c r="A13" t="s">
        <v>15</v>
      </c>
      <c r="B13" s="10">
        <v>1241</v>
      </c>
      <c r="C13" s="10">
        <v>813</v>
      </c>
      <c r="D13" s="10">
        <v>52</v>
      </c>
      <c r="E13" s="10">
        <v>0</v>
      </c>
      <c r="F13" s="10">
        <v>87</v>
      </c>
      <c r="G13" s="10">
        <v>10</v>
      </c>
      <c r="H13" s="31">
        <v>0</v>
      </c>
      <c r="I13" s="10">
        <f t="shared" si="1"/>
        <v>962</v>
      </c>
      <c r="J13" s="10">
        <v>828</v>
      </c>
      <c r="K13" s="300">
        <f t="shared" si="3"/>
        <v>3.2445923460898501E-2</v>
      </c>
      <c r="L13" s="302">
        <f t="shared" si="2"/>
        <v>0.19800747198007471</v>
      </c>
      <c r="N13" s="139">
        <f t="shared" si="0"/>
        <v>39</v>
      </c>
      <c r="O13" s="139">
        <f t="shared" si="4"/>
        <v>159</v>
      </c>
      <c r="Q13" s="12">
        <v>1202</v>
      </c>
      <c r="R13" s="12">
        <v>803</v>
      </c>
    </row>
    <row r="14" spans="1:18" ht="13" x14ac:dyDescent="0.3">
      <c r="A14" t="s">
        <v>16</v>
      </c>
      <c r="B14" s="10">
        <v>1817</v>
      </c>
      <c r="C14" s="10">
        <v>983</v>
      </c>
      <c r="D14" s="10">
        <v>48</v>
      </c>
      <c r="E14" s="10">
        <v>0</v>
      </c>
      <c r="F14" s="10">
        <v>67</v>
      </c>
      <c r="G14" s="10">
        <v>19</v>
      </c>
      <c r="H14" s="31">
        <v>0</v>
      </c>
      <c r="I14" s="10">
        <f t="shared" si="1"/>
        <v>1117</v>
      </c>
      <c r="J14" s="10">
        <v>562</v>
      </c>
      <c r="K14" s="300">
        <f t="shared" si="3"/>
        <v>0.22687373396353816</v>
      </c>
      <c r="L14" s="302">
        <f t="shared" si="2"/>
        <v>-5.3428317008014248E-3</v>
      </c>
      <c r="M14" s="79"/>
      <c r="N14" s="139">
        <f t="shared" si="0"/>
        <v>336</v>
      </c>
      <c r="O14" s="139">
        <f t="shared" si="4"/>
        <v>-6</v>
      </c>
      <c r="Q14" s="12">
        <v>1481</v>
      </c>
      <c r="R14" s="12">
        <v>1123</v>
      </c>
    </row>
    <row r="15" spans="1:18" ht="13" x14ac:dyDescent="0.3">
      <c r="A15" t="s">
        <v>17</v>
      </c>
      <c r="B15" s="10">
        <v>2429</v>
      </c>
      <c r="C15" s="10">
        <v>1187</v>
      </c>
      <c r="D15" s="10">
        <v>38</v>
      </c>
      <c r="E15" s="10">
        <v>0</v>
      </c>
      <c r="F15" s="10">
        <v>82</v>
      </c>
      <c r="G15" s="10">
        <v>69</v>
      </c>
      <c r="H15" s="31">
        <v>0</v>
      </c>
      <c r="I15" s="10">
        <f t="shared" si="1"/>
        <v>1376</v>
      </c>
      <c r="J15" s="10">
        <v>302</v>
      </c>
      <c r="K15" s="300">
        <f>N15/Q15</f>
        <v>0.74497126436781613</v>
      </c>
      <c r="L15" s="302">
        <f t="shared" si="2"/>
        <v>0.44386149003147951</v>
      </c>
      <c r="M15" s="79"/>
      <c r="N15" s="139">
        <f>B15-Q15</f>
        <v>1037</v>
      </c>
      <c r="O15" s="139">
        <f t="shared" si="4"/>
        <v>423</v>
      </c>
      <c r="Q15" s="12">
        <v>1392</v>
      </c>
      <c r="R15" s="12">
        <v>953</v>
      </c>
    </row>
    <row r="16" spans="1:18" ht="13" x14ac:dyDescent="0.3">
      <c r="A16" t="s">
        <v>18</v>
      </c>
      <c r="B16" s="10">
        <v>1500</v>
      </c>
      <c r="C16" s="10">
        <v>847</v>
      </c>
      <c r="D16" s="10">
        <v>38</v>
      </c>
      <c r="E16" s="10">
        <v>0</v>
      </c>
      <c r="F16" s="10">
        <v>75</v>
      </c>
      <c r="G16" s="10">
        <v>28</v>
      </c>
      <c r="H16" s="31">
        <v>0</v>
      </c>
      <c r="I16" s="10">
        <f t="shared" si="1"/>
        <v>988</v>
      </c>
      <c r="J16" s="10">
        <v>322</v>
      </c>
      <c r="K16" s="300">
        <f t="shared" ref="K16:K21" si="5">N16/Q16</f>
        <v>0.10864745011086474</v>
      </c>
      <c r="L16" s="302">
        <f t="shared" si="2"/>
        <v>7.8602620087336247E-2</v>
      </c>
      <c r="N16" s="139">
        <f t="shared" ref="N16:N20" si="6">B16-Q16</f>
        <v>147</v>
      </c>
      <c r="O16" s="139">
        <f t="shared" si="4"/>
        <v>72</v>
      </c>
      <c r="Q16" s="12">
        <v>1353</v>
      </c>
      <c r="R16" s="12">
        <v>916</v>
      </c>
    </row>
    <row r="17" spans="1:18" ht="13" x14ac:dyDescent="0.3">
      <c r="A17" t="s">
        <v>19</v>
      </c>
      <c r="B17" s="10">
        <v>1157</v>
      </c>
      <c r="C17" s="10">
        <v>669</v>
      </c>
      <c r="D17" s="10">
        <v>30</v>
      </c>
      <c r="E17" s="10">
        <v>0</v>
      </c>
      <c r="F17" s="10">
        <v>56</v>
      </c>
      <c r="G17" s="10">
        <v>25</v>
      </c>
      <c r="H17" s="31">
        <v>0</v>
      </c>
      <c r="I17" s="10">
        <f t="shared" si="1"/>
        <v>780</v>
      </c>
      <c r="J17" s="10">
        <v>440</v>
      </c>
      <c r="K17" s="300">
        <f t="shared" si="5"/>
        <v>-0.17826704545454544</v>
      </c>
      <c r="L17" s="302">
        <f t="shared" si="2"/>
        <v>-0.17460317460317459</v>
      </c>
      <c r="N17" s="139">
        <f t="shared" si="6"/>
        <v>-251</v>
      </c>
      <c r="O17" s="139">
        <f t="shared" si="4"/>
        <v>-165</v>
      </c>
      <c r="Q17" s="12">
        <v>1408</v>
      </c>
      <c r="R17" s="12">
        <v>945</v>
      </c>
    </row>
    <row r="18" spans="1:18" ht="13" x14ac:dyDescent="0.3">
      <c r="A18" t="s">
        <v>20</v>
      </c>
      <c r="B18" s="10">
        <v>1082</v>
      </c>
      <c r="C18" s="10">
        <v>661</v>
      </c>
      <c r="D18" s="10">
        <v>34</v>
      </c>
      <c r="E18" s="10">
        <v>0</v>
      </c>
      <c r="F18" s="10">
        <v>54</v>
      </c>
      <c r="G18" s="10">
        <v>6</v>
      </c>
      <c r="H18" s="31">
        <v>0</v>
      </c>
      <c r="I18" s="10">
        <f t="shared" si="1"/>
        <v>755</v>
      </c>
      <c r="J18" s="10">
        <v>534</v>
      </c>
      <c r="K18" s="300">
        <f t="shared" si="5"/>
        <v>-0.13716108452950559</v>
      </c>
      <c r="L18" s="302">
        <f t="shared" si="2"/>
        <v>-0.13318025258323765</v>
      </c>
      <c r="N18" s="139">
        <f t="shared" si="6"/>
        <v>-172</v>
      </c>
      <c r="O18" s="139">
        <f t="shared" si="4"/>
        <v>-116</v>
      </c>
      <c r="Q18" s="12">
        <v>1254</v>
      </c>
      <c r="R18" s="12">
        <v>871</v>
      </c>
    </row>
    <row r="19" spans="1:18" ht="13" x14ac:dyDescent="0.3">
      <c r="A19" t="s">
        <v>21</v>
      </c>
      <c r="B19" s="10">
        <v>932</v>
      </c>
      <c r="C19" s="10">
        <v>601</v>
      </c>
      <c r="D19" s="10">
        <v>38</v>
      </c>
      <c r="E19" s="10">
        <v>0</v>
      </c>
      <c r="F19" s="10">
        <v>44</v>
      </c>
      <c r="G19" s="10">
        <v>0</v>
      </c>
      <c r="H19" s="31">
        <v>1</v>
      </c>
      <c r="I19" s="10">
        <f t="shared" si="1"/>
        <v>683</v>
      </c>
      <c r="J19" s="10">
        <v>496</v>
      </c>
      <c r="K19" s="300">
        <f t="shared" si="5"/>
        <v>9.1334894613583142E-2</v>
      </c>
      <c r="L19" s="302">
        <f t="shared" si="2"/>
        <v>0.10696920583468396</v>
      </c>
      <c r="N19" s="139">
        <f t="shared" si="6"/>
        <v>78</v>
      </c>
      <c r="O19" s="139">
        <f t="shared" si="4"/>
        <v>66</v>
      </c>
      <c r="Q19" s="12">
        <v>854</v>
      </c>
      <c r="R19" s="12">
        <v>617</v>
      </c>
    </row>
    <row r="20" spans="1:18" ht="13" x14ac:dyDescent="0.3">
      <c r="A20" s="4" t="s">
        <v>22</v>
      </c>
      <c r="B20" s="11">
        <v>898</v>
      </c>
      <c r="C20" s="11">
        <v>579</v>
      </c>
      <c r="D20" s="11">
        <v>16</v>
      </c>
      <c r="E20" s="11">
        <v>0</v>
      </c>
      <c r="F20" s="11">
        <v>59</v>
      </c>
      <c r="G20" s="11">
        <v>0</v>
      </c>
      <c r="H20" s="30">
        <v>0</v>
      </c>
      <c r="I20" s="11">
        <f>SUM(C20:G20)</f>
        <v>654</v>
      </c>
      <c r="J20" s="11">
        <v>303</v>
      </c>
      <c r="K20" s="303">
        <f t="shared" si="5"/>
        <v>0.20375335120643431</v>
      </c>
      <c r="L20" s="304">
        <f t="shared" si="2"/>
        <v>0.2247191011235955</v>
      </c>
      <c r="N20" s="305">
        <f t="shared" si="6"/>
        <v>152</v>
      </c>
      <c r="O20" s="305">
        <f t="shared" si="4"/>
        <v>120</v>
      </c>
      <c r="Q20" s="20">
        <v>746</v>
      </c>
      <c r="R20" s="20">
        <v>534</v>
      </c>
    </row>
    <row r="21" spans="1:18" ht="13" x14ac:dyDescent="0.3">
      <c r="A21" s="36" t="s">
        <v>96</v>
      </c>
      <c r="B21" s="8">
        <f t="shared" ref="B21:J21" si="7">SUM(B9:B20)</f>
        <v>14198</v>
      </c>
      <c r="C21" s="8">
        <f t="shared" si="7"/>
        <v>8457</v>
      </c>
      <c r="D21" s="8">
        <f t="shared" si="7"/>
        <v>402</v>
      </c>
      <c r="E21" s="8">
        <f t="shared" si="7"/>
        <v>0</v>
      </c>
      <c r="F21" s="8">
        <f t="shared" si="7"/>
        <v>640</v>
      </c>
      <c r="G21" s="8">
        <f t="shared" si="7"/>
        <v>162</v>
      </c>
      <c r="H21" s="31">
        <f t="shared" si="7"/>
        <v>1</v>
      </c>
      <c r="I21" s="8">
        <f t="shared" si="7"/>
        <v>9661</v>
      </c>
      <c r="J21" s="8">
        <f t="shared" si="7"/>
        <v>5031</v>
      </c>
      <c r="K21" s="300">
        <f t="shared" si="5"/>
        <v>6.495649564956496E-2</v>
      </c>
      <c r="L21" s="302">
        <f t="shared" si="2"/>
        <v>5.550092865727084E-2</v>
      </c>
      <c r="N21" s="139">
        <f>SUM(N9:N20)</f>
        <v>866</v>
      </c>
      <c r="O21" s="139">
        <f>SUM(O9:O20)</f>
        <v>508</v>
      </c>
      <c r="Q21" s="12">
        <f>SUM(Q9:Q20)</f>
        <v>13332</v>
      </c>
      <c r="R21" s="12">
        <f>SUM(R9:R20)</f>
        <v>9153</v>
      </c>
    </row>
    <row r="22" spans="1:18" ht="13" x14ac:dyDescent="0.3">
      <c r="A22" s="37" t="s">
        <v>89</v>
      </c>
      <c r="B22" s="9">
        <v>13332</v>
      </c>
      <c r="C22" s="9">
        <v>8531</v>
      </c>
      <c r="D22" s="9">
        <v>426</v>
      </c>
      <c r="E22" s="9">
        <v>4</v>
      </c>
      <c r="F22" s="9">
        <v>152</v>
      </c>
      <c r="G22" s="9">
        <v>40</v>
      </c>
      <c r="H22" s="9">
        <v>0</v>
      </c>
      <c r="I22" s="9">
        <v>9153</v>
      </c>
      <c r="J22" s="9">
        <v>6129</v>
      </c>
      <c r="K22" s="47"/>
      <c r="L22" s="120"/>
    </row>
    <row r="23" spans="1:18" ht="13" x14ac:dyDescent="0.3">
      <c r="A23" s="5" t="s">
        <v>23</v>
      </c>
      <c r="B23" s="9">
        <f t="shared" ref="B23:J23" si="8">B21-B22</f>
        <v>866</v>
      </c>
      <c r="C23" s="9">
        <f t="shared" si="8"/>
        <v>-74</v>
      </c>
      <c r="D23" s="9">
        <f t="shared" si="8"/>
        <v>-24</v>
      </c>
      <c r="E23" s="9">
        <f t="shared" si="8"/>
        <v>-4</v>
      </c>
      <c r="F23" s="9">
        <f t="shared" si="8"/>
        <v>488</v>
      </c>
      <c r="G23" s="9">
        <f t="shared" si="8"/>
        <v>122</v>
      </c>
      <c r="H23" s="30">
        <f t="shared" si="8"/>
        <v>1</v>
      </c>
      <c r="I23" s="9">
        <f t="shared" si="8"/>
        <v>508</v>
      </c>
      <c r="J23" s="9">
        <f t="shared" si="8"/>
        <v>-1098</v>
      </c>
      <c r="K23" s="19"/>
      <c r="L23" s="121"/>
    </row>
    <row r="24" spans="1:18" ht="12.75" customHeight="1" x14ac:dyDescent="0.25"/>
    <row r="28" spans="1:18" ht="12.75" customHeight="1" x14ac:dyDescent="0.25"/>
    <row r="29" spans="1:18" ht="12.75" customHeight="1" x14ac:dyDescent="0.25"/>
    <row r="30" spans="1:18" ht="12.75" customHeight="1" x14ac:dyDescent="0.25"/>
    <row r="31" spans="1:18" ht="12.75" customHeight="1" x14ac:dyDescent="0.25"/>
    <row r="32" spans="1:18" ht="13" x14ac:dyDescent="0.3">
      <c r="A32" s="1" t="s">
        <v>0</v>
      </c>
      <c r="B32" s="2" t="s">
        <v>1</v>
      </c>
      <c r="C32" s="2" t="s">
        <v>2</v>
      </c>
      <c r="D32" s="2" t="s">
        <v>3</v>
      </c>
      <c r="E32" s="2" t="s">
        <v>4</v>
      </c>
      <c r="F32" s="2" t="s">
        <v>5</v>
      </c>
      <c r="G32" s="2" t="s">
        <v>6</v>
      </c>
      <c r="H32" s="32" t="s">
        <v>7</v>
      </c>
      <c r="I32" s="1" t="s">
        <v>8</v>
      </c>
      <c r="J32" s="2" t="s">
        <v>10</v>
      </c>
      <c r="K32" s="2" t="s">
        <v>1</v>
      </c>
      <c r="L32" s="2" t="s">
        <v>9</v>
      </c>
      <c r="N32" s="163" t="s">
        <v>103</v>
      </c>
      <c r="O32" s="163" t="s">
        <v>104</v>
      </c>
      <c r="P32" s="164"/>
      <c r="Q32" s="163" t="s">
        <v>94</v>
      </c>
      <c r="R32" s="163" t="s">
        <v>95</v>
      </c>
    </row>
    <row r="33" spans="1:18" ht="13" x14ac:dyDescent="0.3">
      <c r="A33" t="s">
        <v>11</v>
      </c>
      <c r="B33" s="10">
        <v>956</v>
      </c>
      <c r="C33" s="10">
        <v>616</v>
      </c>
      <c r="D33" s="10">
        <v>53</v>
      </c>
      <c r="E33" s="10">
        <v>0</v>
      </c>
      <c r="F33" s="10">
        <v>72</v>
      </c>
      <c r="G33" s="10">
        <v>0</v>
      </c>
      <c r="H33" s="31">
        <v>0</v>
      </c>
      <c r="I33" s="10">
        <f t="shared" ref="I33:I43" si="9">SUM(C33:G33)</f>
        <v>741</v>
      </c>
      <c r="J33" s="10">
        <v>842</v>
      </c>
      <c r="K33" s="300">
        <v>0.27296937416777628</v>
      </c>
      <c r="L33" s="301">
        <v>0.37988826815642457</v>
      </c>
      <c r="M33" s="45"/>
      <c r="N33" s="139">
        <v>205</v>
      </c>
      <c r="O33" s="139">
        <v>204</v>
      </c>
      <c r="Q33" s="12">
        <v>751</v>
      </c>
      <c r="R33" s="12">
        <v>537</v>
      </c>
    </row>
    <row r="34" spans="1:18" ht="13" x14ac:dyDescent="0.3">
      <c r="A34" t="s">
        <v>12</v>
      </c>
      <c r="B34" s="10">
        <v>752</v>
      </c>
      <c r="C34" s="10">
        <v>537</v>
      </c>
      <c r="D34" s="10">
        <v>10</v>
      </c>
      <c r="E34" s="10">
        <v>0</v>
      </c>
      <c r="F34" s="10">
        <v>15</v>
      </c>
      <c r="G34" s="10">
        <v>0</v>
      </c>
      <c r="H34" s="31">
        <v>0</v>
      </c>
      <c r="I34" s="10">
        <f t="shared" si="9"/>
        <v>562</v>
      </c>
      <c r="J34" s="10">
        <v>92</v>
      </c>
      <c r="K34" s="300">
        <v>0.24503311258278146</v>
      </c>
      <c r="L34" s="302">
        <v>0.23516483516483516</v>
      </c>
      <c r="N34" s="139">
        <v>148</v>
      </c>
      <c r="O34" s="139">
        <v>107</v>
      </c>
      <c r="Q34" s="12">
        <v>604</v>
      </c>
      <c r="R34" s="12">
        <v>455</v>
      </c>
    </row>
    <row r="35" spans="1:18" ht="13" x14ac:dyDescent="0.3">
      <c r="A35" t="s">
        <v>13</v>
      </c>
      <c r="B35" s="10">
        <v>972</v>
      </c>
      <c r="C35" s="10">
        <v>644</v>
      </c>
      <c r="D35" s="10">
        <v>63</v>
      </c>
      <c r="E35" s="10">
        <v>0</v>
      </c>
      <c r="F35" s="10">
        <v>43</v>
      </c>
      <c r="G35" s="10">
        <v>1</v>
      </c>
      <c r="H35" s="31">
        <v>0</v>
      </c>
      <c r="I35" s="10">
        <f t="shared" si="9"/>
        <v>751</v>
      </c>
      <c r="J35" s="10">
        <v>674</v>
      </c>
      <c r="K35" s="300">
        <v>0.24455825864276567</v>
      </c>
      <c r="L35" s="302">
        <v>0.24958402662229617</v>
      </c>
      <c r="N35" s="139">
        <v>191</v>
      </c>
      <c r="O35" s="139">
        <v>150</v>
      </c>
      <c r="Q35" s="12">
        <v>781</v>
      </c>
      <c r="R35" s="12">
        <v>601</v>
      </c>
    </row>
    <row r="36" spans="1:18" ht="13" x14ac:dyDescent="0.3">
      <c r="A36" t="s">
        <v>14</v>
      </c>
      <c r="B36" s="10">
        <v>1177</v>
      </c>
      <c r="C36" s="10">
        <v>779</v>
      </c>
      <c r="D36" s="10">
        <v>22</v>
      </c>
      <c r="E36" s="10">
        <v>0</v>
      </c>
      <c r="F36" s="10">
        <v>65</v>
      </c>
      <c r="G36" s="10">
        <v>5</v>
      </c>
      <c r="H36" s="31">
        <v>0</v>
      </c>
      <c r="I36" s="10">
        <f t="shared" si="9"/>
        <v>871</v>
      </c>
      <c r="J36" s="10">
        <v>140</v>
      </c>
      <c r="K36" s="300">
        <v>0.16998011928429424</v>
      </c>
      <c r="L36" s="302">
        <v>0.15670650730411687</v>
      </c>
      <c r="M36" s="45"/>
      <c r="N36" s="139">
        <v>171</v>
      </c>
      <c r="O36" s="139">
        <v>118</v>
      </c>
      <c r="Q36" s="12">
        <v>1006</v>
      </c>
      <c r="R36" s="12">
        <v>753</v>
      </c>
    </row>
    <row r="37" spans="1:18" ht="13" x14ac:dyDescent="0.3">
      <c r="A37" t="s">
        <v>15</v>
      </c>
      <c r="B37" s="10">
        <v>1478</v>
      </c>
      <c r="C37" s="10">
        <v>883</v>
      </c>
      <c r="D37" s="10">
        <v>26</v>
      </c>
      <c r="E37" s="10">
        <v>2</v>
      </c>
      <c r="F37" s="10">
        <v>112</v>
      </c>
      <c r="G37" s="10">
        <v>17</v>
      </c>
      <c r="H37" s="31">
        <v>0</v>
      </c>
      <c r="I37" s="10">
        <f t="shared" si="9"/>
        <v>1040</v>
      </c>
      <c r="J37" s="10">
        <v>194</v>
      </c>
      <c r="K37" s="300">
        <v>0.19097502014504431</v>
      </c>
      <c r="L37" s="302">
        <v>8.1081081081081086E-2</v>
      </c>
      <c r="N37" s="139">
        <v>237</v>
      </c>
      <c r="O37" s="139">
        <v>78</v>
      </c>
      <c r="Q37" s="12">
        <v>1241</v>
      </c>
      <c r="R37" s="12">
        <v>962</v>
      </c>
    </row>
    <row r="38" spans="1:18" ht="13" x14ac:dyDescent="0.3">
      <c r="A38" t="s">
        <v>16</v>
      </c>
      <c r="B38" s="10">
        <v>1619</v>
      </c>
      <c r="C38" s="10">
        <v>903</v>
      </c>
      <c r="D38" s="10">
        <v>49</v>
      </c>
      <c r="E38" s="10">
        <v>0</v>
      </c>
      <c r="F38" s="10">
        <v>80</v>
      </c>
      <c r="G38" s="10">
        <v>63</v>
      </c>
      <c r="H38" s="31">
        <v>2</v>
      </c>
      <c r="I38" s="10">
        <f t="shared" si="9"/>
        <v>1095</v>
      </c>
      <c r="J38" s="10">
        <v>434</v>
      </c>
      <c r="K38" s="300">
        <v>-0.10897083104017612</v>
      </c>
      <c r="L38" s="302">
        <v>-1.9695613249776187E-2</v>
      </c>
      <c r="M38" s="79"/>
      <c r="N38" s="139">
        <v>-198</v>
      </c>
      <c r="O38" s="139">
        <v>-22</v>
      </c>
      <c r="Q38" s="12">
        <v>1817</v>
      </c>
      <c r="R38" s="12">
        <v>1117</v>
      </c>
    </row>
    <row r="39" spans="1:18" ht="13" x14ac:dyDescent="0.3">
      <c r="A39" t="s">
        <v>17</v>
      </c>
      <c r="B39" s="10">
        <v>1758</v>
      </c>
      <c r="C39" s="10">
        <v>925</v>
      </c>
      <c r="D39" s="10">
        <v>32</v>
      </c>
      <c r="E39" s="10">
        <v>0</v>
      </c>
      <c r="F39" s="10">
        <v>36</v>
      </c>
      <c r="G39" s="10">
        <v>63</v>
      </c>
      <c r="H39" s="31">
        <v>0</v>
      </c>
      <c r="I39" s="10">
        <f t="shared" si="9"/>
        <v>1056</v>
      </c>
      <c r="J39" s="10">
        <v>464</v>
      </c>
      <c r="K39" s="300">
        <v>-0.27624536846438863</v>
      </c>
      <c r="L39" s="302">
        <v>-0.23255813953488372</v>
      </c>
      <c r="M39" s="79"/>
      <c r="N39" s="139">
        <v>-671</v>
      </c>
      <c r="O39" s="139">
        <v>-320</v>
      </c>
      <c r="Q39" s="12">
        <v>2429</v>
      </c>
      <c r="R39" s="12">
        <v>1376</v>
      </c>
    </row>
    <row r="40" spans="1:18" ht="13" x14ac:dyDescent="0.3">
      <c r="A40" t="s">
        <v>18</v>
      </c>
      <c r="B40" s="10">
        <v>1628</v>
      </c>
      <c r="C40" s="10">
        <v>940</v>
      </c>
      <c r="D40" s="10">
        <v>22</v>
      </c>
      <c r="E40" s="10">
        <v>0</v>
      </c>
      <c r="F40" s="10">
        <v>34</v>
      </c>
      <c r="G40" s="10">
        <v>61</v>
      </c>
      <c r="H40" s="31">
        <v>0</v>
      </c>
      <c r="I40" s="10">
        <f t="shared" si="9"/>
        <v>1057</v>
      </c>
      <c r="J40" s="10">
        <v>232</v>
      </c>
      <c r="K40" s="300">
        <v>8.533333333333333E-2</v>
      </c>
      <c r="L40" s="302">
        <v>6.983805668016195E-2</v>
      </c>
      <c r="N40" s="139">
        <v>128</v>
      </c>
      <c r="O40" s="139">
        <v>69</v>
      </c>
      <c r="Q40" s="12">
        <v>1500</v>
      </c>
      <c r="R40" s="12">
        <v>988</v>
      </c>
    </row>
    <row r="41" spans="1:18" ht="13" x14ac:dyDescent="0.3">
      <c r="A41" t="s">
        <v>19</v>
      </c>
      <c r="B41" s="10">
        <v>1482</v>
      </c>
      <c r="C41" s="10">
        <v>820</v>
      </c>
      <c r="D41" s="10">
        <v>53</v>
      </c>
      <c r="E41" s="10">
        <v>0</v>
      </c>
      <c r="F41" s="10">
        <v>87</v>
      </c>
      <c r="G41" s="10">
        <v>22</v>
      </c>
      <c r="H41" s="31">
        <v>0</v>
      </c>
      <c r="I41" s="10">
        <f t="shared" si="9"/>
        <v>982</v>
      </c>
      <c r="J41" s="10">
        <v>869</v>
      </c>
      <c r="K41" s="300">
        <v>0.2808988764044944</v>
      </c>
      <c r="L41" s="302">
        <v>0.258974358974359</v>
      </c>
      <c r="N41" s="139">
        <v>325</v>
      </c>
      <c r="O41" s="139">
        <v>202</v>
      </c>
      <c r="Q41" s="12">
        <v>1157</v>
      </c>
      <c r="R41" s="12">
        <v>780</v>
      </c>
    </row>
    <row r="42" spans="1:18" ht="13" x14ac:dyDescent="0.3">
      <c r="A42" t="s">
        <v>20</v>
      </c>
      <c r="B42" s="10">
        <v>1230</v>
      </c>
      <c r="C42" s="10">
        <v>789</v>
      </c>
      <c r="D42" s="10">
        <v>34</v>
      </c>
      <c r="E42" s="10">
        <v>0</v>
      </c>
      <c r="F42" s="10">
        <v>94</v>
      </c>
      <c r="G42" s="10">
        <v>23</v>
      </c>
      <c r="H42" s="31">
        <v>0</v>
      </c>
      <c r="I42" s="10">
        <f t="shared" si="9"/>
        <v>940</v>
      </c>
      <c r="J42" s="10">
        <v>619</v>
      </c>
      <c r="K42" s="300">
        <v>0.1367837338262477</v>
      </c>
      <c r="L42" s="302">
        <v>0.24503311258278146</v>
      </c>
      <c r="N42" s="139">
        <v>148</v>
      </c>
      <c r="O42" s="139">
        <v>185</v>
      </c>
      <c r="Q42" s="12">
        <v>1082</v>
      </c>
      <c r="R42" s="12">
        <v>755</v>
      </c>
    </row>
    <row r="43" spans="1:18" ht="13" x14ac:dyDescent="0.3">
      <c r="A43" t="s">
        <v>21</v>
      </c>
      <c r="B43" s="10">
        <v>1002</v>
      </c>
      <c r="C43" s="10">
        <v>691</v>
      </c>
      <c r="D43" s="10">
        <v>32</v>
      </c>
      <c r="E43" s="10">
        <v>0</v>
      </c>
      <c r="F43" s="10">
        <v>33</v>
      </c>
      <c r="G43" s="10">
        <v>2</v>
      </c>
      <c r="H43" s="31">
        <v>0</v>
      </c>
      <c r="I43" s="10">
        <f t="shared" si="9"/>
        <v>758</v>
      </c>
      <c r="J43" s="10">
        <v>426</v>
      </c>
      <c r="K43" s="300">
        <v>7.5107296137339061E-2</v>
      </c>
      <c r="L43" s="302">
        <v>0.10980966325036604</v>
      </c>
      <c r="N43" s="139">
        <v>70</v>
      </c>
      <c r="O43" s="139">
        <v>75</v>
      </c>
      <c r="Q43" s="12">
        <v>932</v>
      </c>
      <c r="R43" s="12">
        <v>683</v>
      </c>
    </row>
    <row r="44" spans="1:18" ht="13" x14ac:dyDescent="0.3">
      <c r="A44" s="4" t="s">
        <v>22</v>
      </c>
      <c r="B44" s="11">
        <v>959</v>
      </c>
      <c r="C44" s="11">
        <v>621</v>
      </c>
      <c r="D44" s="11">
        <v>26</v>
      </c>
      <c r="E44" s="11">
        <v>0</v>
      </c>
      <c r="F44" s="11">
        <v>19</v>
      </c>
      <c r="G44" s="11">
        <v>6</v>
      </c>
      <c r="H44" s="30">
        <v>0</v>
      </c>
      <c r="I44" s="11">
        <f>SUM(C44:G44)</f>
        <v>672</v>
      </c>
      <c r="J44" s="11">
        <v>367</v>
      </c>
      <c r="K44" s="303">
        <v>6.7928730512249444E-2</v>
      </c>
      <c r="L44" s="304">
        <v>2.7522935779816515E-2</v>
      </c>
      <c r="N44" s="305">
        <v>61</v>
      </c>
      <c r="O44" s="305">
        <v>18</v>
      </c>
      <c r="Q44" s="20">
        <v>898</v>
      </c>
      <c r="R44" s="20">
        <v>654</v>
      </c>
    </row>
    <row r="45" spans="1:18" ht="13" x14ac:dyDescent="0.3">
      <c r="A45" s="36" t="s">
        <v>108</v>
      </c>
      <c r="B45" s="8">
        <f t="shared" ref="B45:J45" si="10">SUM(B33:B44)</f>
        <v>15013</v>
      </c>
      <c r="C45" s="8">
        <f t="shared" si="10"/>
        <v>9148</v>
      </c>
      <c r="D45" s="8">
        <f t="shared" si="10"/>
        <v>422</v>
      </c>
      <c r="E45" s="8">
        <f t="shared" si="10"/>
        <v>2</v>
      </c>
      <c r="F45" s="8">
        <f t="shared" si="10"/>
        <v>690</v>
      </c>
      <c r="G45" s="8">
        <f t="shared" si="10"/>
        <v>263</v>
      </c>
      <c r="H45" s="31">
        <f t="shared" si="10"/>
        <v>2</v>
      </c>
      <c r="I45" s="8">
        <f t="shared" si="10"/>
        <v>10525</v>
      </c>
      <c r="J45" s="8">
        <f t="shared" si="10"/>
        <v>5353</v>
      </c>
      <c r="K45" s="300">
        <v>5.7402451049443581E-2</v>
      </c>
      <c r="L45" s="302">
        <v>8.9431735845150601E-2</v>
      </c>
      <c r="N45" s="139">
        <v>815</v>
      </c>
      <c r="O45" s="139">
        <v>864</v>
      </c>
      <c r="Q45" s="12">
        <v>14198</v>
      </c>
      <c r="R45" s="12">
        <v>9661</v>
      </c>
    </row>
    <row r="46" spans="1:18" ht="13" x14ac:dyDescent="0.3">
      <c r="A46" s="37" t="s">
        <v>96</v>
      </c>
      <c r="B46" s="9">
        <v>14198</v>
      </c>
      <c r="C46" s="9">
        <v>8457</v>
      </c>
      <c r="D46" s="9">
        <v>402</v>
      </c>
      <c r="E46" s="9">
        <v>0</v>
      </c>
      <c r="F46" s="9">
        <v>640</v>
      </c>
      <c r="G46" s="9">
        <v>162</v>
      </c>
      <c r="H46" s="9">
        <v>1</v>
      </c>
      <c r="I46" s="9">
        <v>9661</v>
      </c>
      <c r="J46" s="9">
        <v>5031</v>
      </c>
      <c r="K46" s="248">
        <v>6.495649564956496E-2</v>
      </c>
      <c r="L46" s="306">
        <v>5.550092865727084E-2</v>
      </c>
    </row>
    <row r="47" spans="1:18" ht="13" x14ac:dyDescent="0.3">
      <c r="A47" s="5" t="s">
        <v>23</v>
      </c>
      <c r="B47" s="9">
        <f t="shared" ref="B47:J47" si="11">B45-B46</f>
        <v>815</v>
      </c>
      <c r="C47" s="9">
        <f t="shared" si="11"/>
        <v>691</v>
      </c>
      <c r="D47" s="9">
        <f t="shared" si="11"/>
        <v>20</v>
      </c>
      <c r="E47" s="9">
        <f t="shared" si="11"/>
        <v>2</v>
      </c>
      <c r="F47" s="9">
        <f t="shared" si="11"/>
        <v>50</v>
      </c>
      <c r="G47" s="9">
        <f t="shared" si="11"/>
        <v>101</v>
      </c>
      <c r="H47" s="30">
        <f t="shared" si="11"/>
        <v>1</v>
      </c>
      <c r="I47" s="9">
        <f t="shared" si="11"/>
        <v>864</v>
      </c>
      <c r="J47" s="9">
        <f t="shared" si="11"/>
        <v>322</v>
      </c>
      <c r="K47" s="19"/>
      <c r="L47" s="121"/>
    </row>
    <row r="50" spans="1:18" x14ac:dyDescent="0.25">
      <c r="C50" s="332"/>
      <c r="D50" s="333"/>
      <c r="E50" s="333"/>
      <c r="F50" s="333"/>
      <c r="G50" s="333"/>
      <c r="H50" s="333"/>
      <c r="I50" s="334"/>
    </row>
    <row r="51" spans="1:18" ht="18" x14ac:dyDescent="0.25">
      <c r="C51" s="25"/>
      <c r="D51" s="335" t="s">
        <v>193</v>
      </c>
      <c r="I51" s="337"/>
    </row>
    <row r="52" spans="1:18" x14ac:dyDescent="0.25">
      <c r="C52" s="86"/>
      <c r="D52" s="4"/>
      <c r="E52" s="4"/>
      <c r="F52" s="4"/>
      <c r="G52" s="4"/>
      <c r="H52" s="4"/>
      <c r="I52" s="97"/>
    </row>
    <row r="54" spans="1:18" ht="13" x14ac:dyDescent="0.3">
      <c r="A54" s="1" t="s">
        <v>0</v>
      </c>
      <c r="B54" s="2" t="s">
        <v>1</v>
      </c>
      <c r="C54" s="2" t="s">
        <v>2</v>
      </c>
      <c r="D54" s="2" t="s">
        <v>3</v>
      </c>
      <c r="E54" s="2" t="s">
        <v>4</v>
      </c>
      <c r="F54" s="2" t="s">
        <v>5</v>
      </c>
      <c r="G54" s="2" t="s">
        <v>6</v>
      </c>
      <c r="H54" s="32" t="s">
        <v>7</v>
      </c>
      <c r="I54" s="1" t="s">
        <v>8</v>
      </c>
      <c r="J54" s="2" t="s">
        <v>10</v>
      </c>
      <c r="K54" s="2" t="s">
        <v>1</v>
      </c>
      <c r="L54" s="2" t="s">
        <v>9</v>
      </c>
      <c r="N54" s="163" t="s">
        <v>129</v>
      </c>
      <c r="O54" s="163" t="s">
        <v>130</v>
      </c>
      <c r="P54" s="164"/>
      <c r="Q54" s="163" t="s">
        <v>103</v>
      </c>
      <c r="R54" s="163" t="s">
        <v>104</v>
      </c>
    </row>
    <row r="55" spans="1:18" ht="13" x14ac:dyDescent="0.3">
      <c r="A55" t="s">
        <v>11</v>
      </c>
      <c r="B55" s="10">
        <v>1200</v>
      </c>
      <c r="C55" s="10">
        <v>766</v>
      </c>
      <c r="D55" s="10">
        <v>32</v>
      </c>
      <c r="E55" s="10">
        <v>0</v>
      </c>
      <c r="F55" s="10">
        <v>23</v>
      </c>
      <c r="G55" s="10">
        <v>14</v>
      </c>
      <c r="H55" s="31">
        <v>0</v>
      </c>
      <c r="I55" s="10">
        <f t="shared" ref="I55:I65" si="12">SUM(C55:G55)</f>
        <v>835</v>
      </c>
      <c r="J55" s="10">
        <v>350</v>
      </c>
      <c r="K55" s="300">
        <f>N55/Q55</f>
        <v>0.25523012552301255</v>
      </c>
      <c r="L55" s="301">
        <f>O55/R55</f>
        <v>0.12685560053981107</v>
      </c>
      <c r="N55" s="139">
        <f t="shared" ref="N55:N66" si="13">B55-Q55</f>
        <v>244</v>
      </c>
      <c r="O55" s="139">
        <f>I55-R55</f>
        <v>94</v>
      </c>
      <c r="Q55" s="12">
        <v>956</v>
      </c>
      <c r="R55" s="12">
        <v>741</v>
      </c>
    </row>
    <row r="56" spans="1:18" ht="13" x14ac:dyDescent="0.3">
      <c r="A56" t="s">
        <v>12</v>
      </c>
      <c r="B56" s="10">
        <v>986</v>
      </c>
      <c r="C56" s="10">
        <v>566</v>
      </c>
      <c r="D56" s="10">
        <v>191</v>
      </c>
      <c r="E56" s="10">
        <v>0</v>
      </c>
      <c r="F56" s="10">
        <v>163</v>
      </c>
      <c r="G56" s="10">
        <v>2</v>
      </c>
      <c r="H56" s="31">
        <v>0</v>
      </c>
      <c r="I56" s="10">
        <f t="shared" si="12"/>
        <v>922</v>
      </c>
      <c r="J56" s="10">
        <v>4038</v>
      </c>
      <c r="K56" s="300">
        <f t="shared" ref="K56:L67" si="14">N56/Q56</f>
        <v>0.31117021276595747</v>
      </c>
      <c r="L56" s="302">
        <f t="shared" si="14"/>
        <v>0.64056939501779364</v>
      </c>
      <c r="N56" s="139">
        <f t="shared" si="13"/>
        <v>234</v>
      </c>
      <c r="O56" s="139">
        <f>I56-R56</f>
        <v>360</v>
      </c>
      <c r="Q56" s="12">
        <v>752</v>
      </c>
      <c r="R56" s="12">
        <v>562</v>
      </c>
    </row>
    <row r="57" spans="1:18" ht="13" x14ac:dyDescent="0.3">
      <c r="A57" t="s">
        <v>13</v>
      </c>
      <c r="B57" s="10">
        <v>1054</v>
      </c>
      <c r="C57" s="10">
        <v>690</v>
      </c>
      <c r="D57" s="10">
        <v>20</v>
      </c>
      <c r="E57" s="10">
        <v>0</v>
      </c>
      <c r="F57" s="10">
        <v>33</v>
      </c>
      <c r="G57" s="10">
        <v>11</v>
      </c>
      <c r="H57" s="31">
        <v>0</v>
      </c>
      <c r="I57" s="10">
        <f t="shared" si="12"/>
        <v>754</v>
      </c>
      <c r="J57" s="10">
        <v>258</v>
      </c>
      <c r="K57" s="300">
        <f t="shared" si="14"/>
        <v>8.4362139917695478E-2</v>
      </c>
      <c r="L57" s="302">
        <f t="shared" si="14"/>
        <v>3.9946737683089215E-3</v>
      </c>
      <c r="N57" s="139">
        <f t="shared" si="13"/>
        <v>82</v>
      </c>
      <c r="O57" s="139">
        <f>I57-R57</f>
        <v>3</v>
      </c>
      <c r="Q57" s="12">
        <v>972</v>
      </c>
      <c r="R57" s="12">
        <v>751</v>
      </c>
    </row>
    <row r="58" spans="1:18" ht="13" x14ac:dyDescent="0.3">
      <c r="A58" t="s">
        <v>14</v>
      </c>
      <c r="B58" s="10">
        <v>1339</v>
      </c>
      <c r="C58" s="10">
        <v>841</v>
      </c>
      <c r="D58" s="10">
        <v>28</v>
      </c>
      <c r="E58" s="10">
        <v>0</v>
      </c>
      <c r="F58" s="10">
        <v>72</v>
      </c>
      <c r="G58" s="10">
        <v>26</v>
      </c>
      <c r="H58" s="31">
        <v>0</v>
      </c>
      <c r="I58" s="10">
        <f t="shared" si="12"/>
        <v>967</v>
      </c>
      <c r="J58" s="10">
        <v>370</v>
      </c>
      <c r="K58" s="300">
        <f t="shared" si="14"/>
        <v>0.13763806287170774</v>
      </c>
      <c r="L58" s="302">
        <f t="shared" si="14"/>
        <v>0.11021814006888633</v>
      </c>
      <c r="N58" s="139">
        <f t="shared" si="13"/>
        <v>162</v>
      </c>
      <c r="O58" s="139">
        <f t="shared" ref="O58:O66" si="15">I58-R58</f>
        <v>96</v>
      </c>
      <c r="Q58" s="12">
        <v>1177</v>
      </c>
      <c r="R58" s="12">
        <v>871</v>
      </c>
    </row>
    <row r="59" spans="1:18" ht="13" x14ac:dyDescent="0.3">
      <c r="A59" t="s">
        <v>15</v>
      </c>
      <c r="B59" s="10">
        <v>1294</v>
      </c>
      <c r="C59" s="10">
        <v>824</v>
      </c>
      <c r="D59" s="10">
        <v>48</v>
      </c>
      <c r="E59" s="10">
        <v>0</v>
      </c>
      <c r="F59" s="10">
        <v>61</v>
      </c>
      <c r="G59" s="10">
        <v>15</v>
      </c>
      <c r="H59" s="31">
        <v>0</v>
      </c>
      <c r="I59" s="10">
        <f t="shared" si="12"/>
        <v>948</v>
      </c>
      <c r="J59" s="10">
        <v>544</v>
      </c>
      <c r="K59" s="300">
        <f t="shared" si="14"/>
        <v>-0.12449255751014884</v>
      </c>
      <c r="L59" s="302">
        <f t="shared" si="14"/>
        <v>-8.8461538461538466E-2</v>
      </c>
      <c r="N59" s="139">
        <f t="shared" si="13"/>
        <v>-184</v>
      </c>
      <c r="O59" s="139">
        <f t="shared" si="15"/>
        <v>-92</v>
      </c>
      <c r="Q59" s="12">
        <v>1478</v>
      </c>
      <c r="R59" s="12">
        <v>1040</v>
      </c>
    </row>
    <row r="60" spans="1:18" ht="13" x14ac:dyDescent="0.3">
      <c r="A60" t="s">
        <v>16</v>
      </c>
      <c r="B60" s="10">
        <v>1579</v>
      </c>
      <c r="C60" s="10">
        <v>935</v>
      </c>
      <c r="D60" s="10">
        <v>24</v>
      </c>
      <c r="E60" s="10">
        <v>0</v>
      </c>
      <c r="F60" s="10">
        <v>74</v>
      </c>
      <c r="G60" s="10">
        <v>53</v>
      </c>
      <c r="H60" s="31">
        <v>0</v>
      </c>
      <c r="I60" s="10">
        <f t="shared" si="12"/>
        <v>1086</v>
      </c>
      <c r="J60" s="10">
        <v>438</v>
      </c>
      <c r="K60" s="300">
        <f t="shared" si="14"/>
        <v>-2.4706609017912291E-2</v>
      </c>
      <c r="L60" s="302">
        <f t="shared" si="14"/>
        <v>-8.21917808219178E-3</v>
      </c>
      <c r="N60" s="139">
        <f t="shared" si="13"/>
        <v>-40</v>
      </c>
      <c r="O60" s="139">
        <f t="shared" si="15"/>
        <v>-9</v>
      </c>
      <c r="Q60" s="12">
        <v>1619</v>
      </c>
      <c r="R60" s="12">
        <v>1095</v>
      </c>
    </row>
    <row r="61" spans="1:18" ht="13" x14ac:dyDescent="0.3">
      <c r="A61" t="s">
        <v>17</v>
      </c>
      <c r="B61" s="10">
        <v>1871</v>
      </c>
      <c r="C61" s="10">
        <v>963</v>
      </c>
      <c r="D61" s="10">
        <v>36</v>
      </c>
      <c r="E61" s="10">
        <v>0</v>
      </c>
      <c r="F61" s="10">
        <v>38</v>
      </c>
      <c r="G61" s="10">
        <v>64</v>
      </c>
      <c r="H61" s="31">
        <v>0</v>
      </c>
      <c r="I61" s="10">
        <f t="shared" si="12"/>
        <v>1101</v>
      </c>
      <c r="J61" s="10">
        <v>503</v>
      </c>
      <c r="K61" s="300">
        <f t="shared" si="14"/>
        <v>6.4277588168373145E-2</v>
      </c>
      <c r="L61" s="302">
        <f t="shared" si="14"/>
        <v>4.261363636363636E-2</v>
      </c>
      <c r="N61" s="139">
        <f t="shared" si="13"/>
        <v>113</v>
      </c>
      <c r="O61" s="139">
        <f t="shared" si="15"/>
        <v>45</v>
      </c>
      <c r="Q61" s="12">
        <v>1758</v>
      </c>
      <c r="R61" s="12">
        <v>1056</v>
      </c>
    </row>
    <row r="62" spans="1:18" ht="13" x14ac:dyDescent="0.3">
      <c r="A62" t="s">
        <v>18</v>
      </c>
      <c r="B62" s="10">
        <v>1757</v>
      </c>
      <c r="C62" s="10">
        <v>965</v>
      </c>
      <c r="D62" s="10">
        <v>47</v>
      </c>
      <c r="E62" s="10">
        <v>0</v>
      </c>
      <c r="F62" s="10">
        <v>101</v>
      </c>
      <c r="G62" s="10">
        <v>35</v>
      </c>
      <c r="H62" s="31">
        <v>0</v>
      </c>
      <c r="I62" s="10">
        <f t="shared" si="12"/>
        <v>1148</v>
      </c>
      <c r="J62" s="10">
        <v>1062</v>
      </c>
      <c r="K62" s="300">
        <f t="shared" si="14"/>
        <v>7.9238329238329241E-2</v>
      </c>
      <c r="L62" s="302">
        <f t="shared" si="14"/>
        <v>8.6092715231788075E-2</v>
      </c>
      <c r="N62" s="139">
        <f t="shared" si="13"/>
        <v>129</v>
      </c>
      <c r="O62" s="139">
        <f t="shared" si="15"/>
        <v>91</v>
      </c>
      <c r="Q62" s="12">
        <v>1628</v>
      </c>
      <c r="R62" s="12">
        <v>1057</v>
      </c>
    </row>
    <row r="63" spans="1:18" ht="13" x14ac:dyDescent="0.3">
      <c r="A63" t="s">
        <v>19</v>
      </c>
      <c r="B63" s="10">
        <v>1570</v>
      </c>
      <c r="C63" s="10">
        <v>924</v>
      </c>
      <c r="D63" s="10">
        <v>55</v>
      </c>
      <c r="E63" s="10">
        <v>0</v>
      </c>
      <c r="F63" s="10">
        <v>41</v>
      </c>
      <c r="G63" s="10">
        <v>22</v>
      </c>
      <c r="H63" s="31">
        <v>0</v>
      </c>
      <c r="I63" s="10">
        <f t="shared" si="12"/>
        <v>1042</v>
      </c>
      <c r="J63" s="10">
        <v>902</v>
      </c>
      <c r="K63" s="300">
        <f t="shared" si="14"/>
        <v>5.9379217273954114E-2</v>
      </c>
      <c r="L63" s="302">
        <f t="shared" si="14"/>
        <v>6.1099796334012219E-2</v>
      </c>
      <c r="N63" s="139">
        <f t="shared" si="13"/>
        <v>88</v>
      </c>
      <c r="O63" s="139">
        <f t="shared" si="15"/>
        <v>60</v>
      </c>
      <c r="Q63" s="12">
        <v>1482</v>
      </c>
      <c r="R63" s="12">
        <v>982</v>
      </c>
    </row>
    <row r="64" spans="1:18" ht="13" x14ac:dyDescent="0.3">
      <c r="A64" t="s">
        <v>20</v>
      </c>
      <c r="B64" s="10">
        <v>1377</v>
      </c>
      <c r="C64" s="10">
        <v>885</v>
      </c>
      <c r="D64" s="10">
        <v>35</v>
      </c>
      <c r="E64" s="10">
        <v>0</v>
      </c>
      <c r="F64" s="10">
        <v>59</v>
      </c>
      <c r="G64" s="10">
        <v>3</v>
      </c>
      <c r="H64" s="31">
        <v>0</v>
      </c>
      <c r="I64" s="10">
        <f t="shared" si="12"/>
        <v>982</v>
      </c>
      <c r="J64" s="10">
        <v>546</v>
      </c>
      <c r="K64" s="300">
        <f t="shared" si="14"/>
        <v>0.11951219512195121</v>
      </c>
      <c r="L64" s="302">
        <f t="shared" si="14"/>
        <v>4.4680851063829789E-2</v>
      </c>
      <c r="N64" s="139">
        <f t="shared" si="13"/>
        <v>147</v>
      </c>
      <c r="O64" s="139">
        <f t="shared" si="15"/>
        <v>42</v>
      </c>
      <c r="Q64" s="12">
        <v>1230</v>
      </c>
      <c r="R64" s="12">
        <v>940</v>
      </c>
    </row>
    <row r="65" spans="1:18" ht="13" x14ac:dyDescent="0.3">
      <c r="A65" t="s">
        <v>21</v>
      </c>
      <c r="B65" s="10">
        <v>1190</v>
      </c>
      <c r="C65" s="10">
        <v>755</v>
      </c>
      <c r="D65" s="10">
        <v>28</v>
      </c>
      <c r="E65" s="10">
        <v>0</v>
      </c>
      <c r="F65" s="10">
        <v>15</v>
      </c>
      <c r="G65" s="10">
        <v>0</v>
      </c>
      <c r="H65" s="31">
        <v>0</v>
      </c>
      <c r="I65" s="10">
        <f t="shared" si="12"/>
        <v>798</v>
      </c>
      <c r="J65" s="10">
        <v>348</v>
      </c>
      <c r="K65" s="300">
        <f t="shared" si="14"/>
        <v>0.18762475049900199</v>
      </c>
      <c r="L65" s="302">
        <f t="shared" si="14"/>
        <v>5.2770448548812667E-2</v>
      </c>
      <c r="N65" s="139">
        <f t="shared" si="13"/>
        <v>188</v>
      </c>
      <c r="O65" s="139">
        <f t="shared" si="15"/>
        <v>40</v>
      </c>
      <c r="Q65" s="12">
        <v>1002</v>
      </c>
      <c r="R65" s="12">
        <v>758</v>
      </c>
    </row>
    <row r="66" spans="1:18" ht="13" x14ac:dyDescent="0.3">
      <c r="A66" s="4" t="s">
        <v>22</v>
      </c>
      <c r="B66" s="11">
        <v>1075</v>
      </c>
      <c r="C66" s="11">
        <v>689</v>
      </c>
      <c r="D66" s="11">
        <v>11</v>
      </c>
      <c r="E66" s="11">
        <v>0</v>
      </c>
      <c r="F66" s="11">
        <v>37</v>
      </c>
      <c r="G66" s="11">
        <v>1</v>
      </c>
      <c r="H66" s="30">
        <v>0</v>
      </c>
      <c r="I66" s="11">
        <f>SUM(C66:G66)</f>
        <v>738</v>
      </c>
      <c r="J66" s="11">
        <v>152</v>
      </c>
      <c r="K66" s="303">
        <f t="shared" si="14"/>
        <v>0.12095933263816476</v>
      </c>
      <c r="L66" s="304">
        <f t="shared" si="14"/>
        <v>9.8214285714285712E-2</v>
      </c>
      <c r="N66" s="305">
        <f t="shared" si="13"/>
        <v>116</v>
      </c>
      <c r="O66" s="305">
        <f t="shared" si="15"/>
        <v>66</v>
      </c>
      <c r="Q66" s="20">
        <v>959</v>
      </c>
      <c r="R66" s="20">
        <v>672</v>
      </c>
    </row>
    <row r="67" spans="1:18" ht="13" x14ac:dyDescent="0.3">
      <c r="A67" s="36" t="s">
        <v>184</v>
      </c>
      <c r="B67" s="8">
        <f t="shared" ref="B67:J67" si="16">SUM(B55:B66)</f>
        <v>16292</v>
      </c>
      <c r="C67" s="8">
        <f t="shared" si="16"/>
        <v>9803</v>
      </c>
      <c r="D67" s="8">
        <f t="shared" si="16"/>
        <v>555</v>
      </c>
      <c r="E67" s="8">
        <f t="shared" si="16"/>
        <v>0</v>
      </c>
      <c r="F67" s="8">
        <f t="shared" si="16"/>
        <v>717</v>
      </c>
      <c r="G67" s="8">
        <f t="shared" si="16"/>
        <v>246</v>
      </c>
      <c r="H67" s="31">
        <f t="shared" si="16"/>
        <v>0</v>
      </c>
      <c r="I67" s="8">
        <f t="shared" si="16"/>
        <v>11321</v>
      </c>
      <c r="J67" s="8">
        <f t="shared" si="16"/>
        <v>9511</v>
      </c>
      <c r="K67" s="300">
        <f t="shared" si="14"/>
        <v>8.5192832878172253E-2</v>
      </c>
      <c r="L67" s="302">
        <f t="shared" si="14"/>
        <v>7.5629453681710215E-2</v>
      </c>
      <c r="N67" s="139">
        <f>SUM(N55:N66)</f>
        <v>1279</v>
      </c>
      <c r="O67" s="139">
        <f>SUM(O55:O66)</f>
        <v>796</v>
      </c>
      <c r="Q67" s="12">
        <f>SUM(Q55:Q66)</f>
        <v>15013</v>
      </c>
      <c r="R67" s="12">
        <f>SUM(R55:R66)</f>
        <v>10525</v>
      </c>
    </row>
    <row r="68" spans="1:18" ht="13" x14ac:dyDescent="0.3">
      <c r="A68" s="37" t="s">
        <v>108</v>
      </c>
      <c r="B68" s="9">
        <v>15013</v>
      </c>
      <c r="C68" s="9">
        <v>9148</v>
      </c>
      <c r="D68" s="9">
        <v>422</v>
      </c>
      <c r="E68" s="9">
        <v>2</v>
      </c>
      <c r="F68" s="9">
        <v>690</v>
      </c>
      <c r="G68" s="9">
        <v>263</v>
      </c>
      <c r="H68" s="30">
        <v>2</v>
      </c>
      <c r="I68" s="9">
        <v>10525</v>
      </c>
      <c r="J68" s="9">
        <v>5353</v>
      </c>
      <c r="K68" s="248"/>
      <c r="L68" s="306"/>
    </row>
    <row r="69" spans="1:18" ht="13" x14ac:dyDescent="0.3">
      <c r="A69" s="5" t="s">
        <v>23</v>
      </c>
      <c r="B69" s="9">
        <f t="shared" ref="B69:J69" si="17">B67-B68</f>
        <v>1279</v>
      </c>
      <c r="C69" s="9">
        <f t="shared" si="17"/>
        <v>655</v>
      </c>
      <c r="D69" s="9">
        <f t="shared" si="17"/>
        <v>133</v>
      </c>
      <c r="E69" s="9">
        <f t="shared" si="17"/>
        <v>-2</v>
      </c>
      <c r="F69" s="9">
        <f t="shared" si="17"/>
        <v>27</v>
      </c>
      <c r="G69" s="9">
        <f t="shared" si="17"/>
        <v>-17</v>
      </c>
      <c r="H69" s="30">
        <f t="shared" si="17"/>
        <v>-2</v>
      </c>
      <c r="I69" s="9">
        <f t="shared" si="17"/>
        <v>796</v>
      </c>
      <c r="J69" s="9">
        <f t="shared" si="17"/>
        <v>4158</v>
      </c>
      <c r="K69" s="19"/>
      <c r="L69" s="121"/>
    </row>
    <row r="76" spans="1:18" ht="13" x14ac:dyDescent="0.3">
      <c r="A76" s="1" t="s">
        <v>0</v>
      </c>
      <c r="B76" s="2" t="s">
        <v>1</v>
      </c>
      <c r="C76" s="2" t="s">
        <v>2</v>
      </c>
      <c r="D76" s="2" t="s">
        <v>3</v>
      </c>
      <c r="E76" s="2" t="s">
        <v>4</v>
      </c>
      <c r="F76" s="2" t="s">
        <v>5</v>
      </c>
      <c r="G76" s="2" t="s">
        <v>6</v>
      </c>
      <c r="H76" s="32" t="s">
        <v>7</v>
      </c>
      <c r="I76" s="1" t="s">
        <v>8</v>
      </c>
      <c r="J76" s="2" t="s">
        <v>10</v>
      </c>
      <c r="K76" s="2" t="s">
        <v>1</v>
      </c>
      <c r="L76" s="2" t="s">
        <v>9</v>
      </c>
      <c r="N76" s="163" t="s">
        <v>129</v>
      </c>
      <c r="O76" s="163" t="s">
        <v>130</v>
      </c>
      <c r="Q76" s="163" t="s">
        <v>129</v>
      </c>
      <c r="R76" s="163" t="s">
        <v>130</v>
      </c>
    </row>
    <row r="77" spans="1:18" ht="13" x14ac:dyDescent="0.3">
      <c r="A77" t="s">
        <v>11</v>
      </c>
      <c r="B77" s="10">
        <v>940</v>
      </c>
      <c r="C77" s="10">
        <v>640</v>
      </c>
      <c r="D77" s="10">
        <v>18</v>
      </c>
      <c r="E77" s="10">
        <v>0</v>
      </c>
      <c r="F77" s="10">
        <v>26</v>
      </c>
      <c r="G77" s="10">
        <v>0</v>
      </c>
      <c r="H77" s="31">
        <v>0</v>
      </c>
      <c r="I77" s="10">
        <f t="shared" ref="I77:I87" si="18">SUM(C77:G77)</f>
        <v>684</v>
      </c>
      <c r="J77" s="10">
        <f>(F77*8+D77*12)</f>
        <v>424</v>
      </c>
      <c r="K77" s="300">
        <f>N77/Q77</f>
        <v>-0.21666666666666667</v>
      </c>
      <c r="L77" s="301">
        <f>O77/R77</f>
        <v>-0.18083832335329342</v>
      </c>
      <c r="N77" s="139">
        <f>B77-Q77</f>
        <v>-260</v>
      </c>
      <c r="O77" s="139">
        <f>I77-R77</f>
        <v>-151</v>
      </c>
      <c r="Q77" s="143">
        <v>1200</v>
      </c>
      <c r="R77" s="143">
        <v>835</v>
      </c>
    </row>
    <row r="78" spans="1:18" ht="13" x14ac:dyDescent="0.3">
      <c r="A78" t="s">
        <v>12</v>
      </c>
      <c r="B78" s="10">
        <v>921</v>
      </c>
      <c r="C78" s="10">
        <v>646</v>
      </c>
      <c r="D78" s="10">
        <v>10</v>
      </c>
      <c r="E78" s="10">
        <v>0</v>
      </c>
      <c r="F78" s="10">
        <v>28</v>
      </c>
      <c r="G78" s="10">
        <v>5</v>
      </c>
      <c r="H78" s="31">
        <v>0</v>
      </c>
      <c r="I78" s="10">
        <f t="shared" si="18"/>
        <v>689</v>
      </c>
      <c r="J78" s="10">
        <f>(F78*8+D78*12)</f>
        <v>344</v>
      </c>
      <c r="K78" s="300">
        <f t="shared" ref="K78:L89" si="19">N78/Q78</f>
        <v>-6.5922920892494935E-2</v>
      </c>
      <c r="L78" s="302">
        <f t="shared" si="19"/>
        <v>-0.25271149674620391</v>
      </c>
      <c r="N78" s="139">
        <f t="shared" ref="N78:N88" si="20">B78-Q78</f>
        <v>-65</v>
      </c>
      <c r="O78" s="139">
        <f t="shared" ref="O78:O88" si="21">I78-R78</f>
        <v>-233</v>
      </c>
      <c r="Q78" s="143">
        <v>986</v>
      </c>
      <c r="R78" s="143">
        <v>922</v>
      </c>
    </row>
    <row r="79" spans="1:18" ht="13" x14ac:dyDescent="0.3">
      <c r="A79" t="s">
        <v>13</v>
      </c>
      <c r="B79" s="10">
        <v>992</v>
      </c>
      <c r="C79" s="10">
        <v>663</v>
      </c>
      <c r="D79" s="10">
        <v>30</v>
      </c>
      <c r="E79" s="10">
        <v>0</v>
      </c>
      <c r="F79" s="10">
        <v>26</v>
      </c>
      <c r="G79" s="10">
        <v>15</v>
      </c>
      <c r="H79" s="31">
        <v>0</v>
      </c>
      <c r="I79" s="10">
        <f t="shared" si="18"/>
        <v>734</v>
      </c>
      <c r="J79" s="10">
        <f>(F79*8+D79*12)</f>
        <v>568</v>
      </c>
      <c r="K79" s="300">
        <f t="shared" si="19"/>
        <v>-5.8823529411764705E-2</v>
      </c>
      <c r="L79" s="302">
        <f t="shared" si="19"/>
        <v>-2.6525198938992044E-2</v>
      </c>
      <c r="N79" s="139">
        <f t="shared" si="20"/>
        <v>-62</v>
      </c>
      <c r="O79" s="139">
        <f t="shared" si="21"/>
        <v>-20</v>
      </c>
      <c r="Q79" s="143">
        <v>1054</v>
      </c>
      <c r="R79" s="143">
        <v>754</v>
      </c>
    </row>
    <row r="80" spans="1:18" ht="13" x14ac:dyDescent="0.3">
      <c r="A80" t="s">
        <v>14</v>
      </c>
      <c r="B80" s="10">
        <v>1018</v>
      </c>
      <c r="C80" s="10">
        <v>630</v>
      </c>
      <c r="D80" s="10">
        <v>29</v>
      </c>
      <c r="E80" s="10">
        <v>0</v>
      </c>
      <c r="F80" s="10">
        <v>61</v>
      </c>
      <c r="G80" s="10"/>
      <c r="H80" s="31">
        <v>0</v>
      </c>
      <c r="I80" s="10">
        <f t="shared" si="18"/>
        <v>720</v>
      </c>
      <c r="J80" s="10">
        <f t="shared" ref="J80:J88" si="22">(F80*8+D80*12)</f>
        <v>836</v>
      </c>
      <c r="K80" s="300">
        <f t="shared" si="19"/>
        <v>-0.23973114264376399</v>
      </c>
      <c r="L80" s="302">
        <f t="shared" si="19"/>
        <v>-0.25542916235780766</v>
      </c>
      <c r="N80" s="139">
        <f t="shared" si="20"/>
        <v>-321</v>
      </c>
      <c r="O80" s="139">
        <f t="shared" si="21"/>
        <v>-247</v>
      </c>
      <c r="Q80" s="143">
        <v>1339</v>
      </c>
      <c r="R80" s="143">
        <v>967</v>
      </c>
    </row>
    <row r="81" spans="1:18" ht="13" x14ac:dyDescent="0.3">
      <c r="A81" t="s">
        <v>15</v>
      </c>
      <c r="B81" s="10">
        <v>632</v>
      </c>
      <c r="C81" s="10">
        <v>399</v>
      </c>
      <c r="D81" s="10">
        <v>20</v>
      </c>
      <c r="E81" s="10">
        <v>0</v>
      </c>
      <c r="F81" s="10">
        <v>2</v>
      </c>
      <c r="G81" s="10">
        <v>0</v>
      </c>
      <c r="H81" s="31">
        <v>0</v>
      </c>
      <c r="I81" s="10">
        <f t="shared" si="18"/>
        <v>421</v>
      </c>
      <c r="J81" s="10">
        <f t="shared" si="22"/>
        <v>256</v>
      </c>
      <c r="K81" s="300">
        <f t="shared" si="19"/>
        <v>-0.51159196290571873</v>
      </c>
      <c r="L81" s="302">
        <f t="shared" si="19"/>
        <v>-0.55590717299578063</v>
      </c>
      <c r="N81" s="139">
        <f t="shared" si="20"/>
        <v>-662</v>
      </c>
      <c r="O81" s="139">
        <f t="shared" si="21"/>
        <v>-527</v>
      </c>
      <c r="Q81" s="143">
        <v>1294</v>
      </c>
      <c r="R81" s="143">
        <v>948</v>
      </c>
    </row>
    <row r="82" spans="1:18" ht="13" x14ac:dyDescent="0.3">
      <c r="A82" t="s">
        <v>16</v>
      </c>
      <c r="B82" s="10">
        <v>1603</v>
      </c>
      <c r="C82" s="10">
        <v>933</v>
      </c>
      <c r="D82" s="10">
        <v>8</v>
      </c>
      <c r="E82" s="10">
        <v>0</v>
      </c>
      <c r="F82" s="10">
        <v>51</v>
      </c>
      <c r="G82" s="10">
        <v>2</v>
      </c>
      <c r="H82" s="31">
        <v>0</v>
      </c>
      <c r="I82" s="10">
        <f t="shared" si="18"/>
        <v>994</v>
      </c>
      <c r="J82" s="10">
        <f t="shared" si="22"/>
        <v>504</v>
      </c>
      <c r="K82" s="300">
        <f t="shared" si="19"/>
        <v>1.5199493350221659E-2</v>
      </c>
      <c r="L82" s="302">
        <f t="shared" si="19"/>
        <v>-8.4714548802946599E-2</v>
      </c>
      <c r="N82" s="139">
        <f t="shared" si="20"/>
        <v>24</v>
      </c>
      <c r="O82" s="139">
        <f t="shared" si="21"/>
        <v>-92</v>
      </c>
      <c r="Q82" s="143">
        <v>1579</v>
      </c>
      <c r="R82" s="143">
        <v>1086</v>
      </c>
    </row>
    <row r="83" spans="1:18" ht="13" x14ac:dyDescent="0.3">
      <c r="A83" t="s">
        <v>17</v>
      </c>
      <c r="B83" s="10">
        <v>1675</v>
      </c>
      <c r="C83" s="10">
        <v>919</v>
      </c>
      <c r="D83" s="10">
        <v>32</v>
      </c>
      <c r="E83" s="10">
        <v>0</v>
      </c>
      <c r="F83" s="10">
        <v>21</v>
      </c>
      <c r="G83" s="10">
        <v>6</v>
      </c>
      <c r="H83" s="31">
        <v>0</v>
      </c>
      <c r="I83" s="10">
        <f t="shared" si="18"/>
        <v>978</v>
      </c>
      <c r="J83" s="10">
        <f t="shared" si="22"/>
        <v>552</v>
      </c>
      <c r="K83" s="300">
        <f t="shared" si="19"/>
        <v>-0.10475681453768039</v>
      </c>
      <c r="L83" s="302">
        <f t="shared" si="19"/>
        <v>-0.11171662125340599</v>
      </c>
      <c r="N83" s="139">
        <f t="shared" si="20"/>
        <v>-196</v>
      </c>
      <c r="O83" s="139">
        <f t="shared" si="21"/>
        <v>-123</v>
      </c>
      <c r="Q83" s="143">
        <v>1871</v>
      </c>
      <c r="R83" s="143">
        <v>1101</v>
      </c>
    </row>
    <row r="84" spans="1:18" ht="13" x14ac:dyDescent="0.3">
      <c r="A84" t="s">
        <v>18</v>
      </c>
      <c r="B84" s="10"/>
      <c r="C84" s="10"/>
      <c r="D84" s="10"/>
      <c r="E84" s="10"/>
      <c r="F84" s="10"/>
      <c r="G84" s="10"/>
      <c r="H84" s="31">
        <v>0</v>
      </c>
      <c r="I84" s="10">
        <f t="shared" si="18"/>
        <v>0</v>
      </c>
      <c r="J84" s="10">
        <f t="shared" si="22"/>
        <v>0</v>
      </c>
      <c r="K84" s="300">
        <f t="shared" si="19"/>
        <v>-1</v>
      </c>
      <c r="L84" s="302">
        <f t="shared" si="19"/>
        <v>-1</v>
      </c>
      <c r="N84" s="139">
        <f t="shared" si="20"/>
        <v>-1757</v>
      </c>
      <c r="O84" s="139">
        <f t="shared" si="21"/>
        <v>-1148</v>
      </c>
      <c r="Q84" s="143">
        <v>1757</v>
      </c>
      <c r="R84" s="143">
        <v>1148</v>
      </c>
    </row>
    <row r="85" spans="1:18" ht="13" x14ac:dyDescent="0.3">
      <c r="A85" t="s">
        <v>19</v>
      </c>
      <c r="B85" s="10"/>
      <c r="C85" s="10"/>
      <c r="D85" s="10"/>
      <c r="E85" s="10"/>
      <c r="F85" s="10"/>
      <c r="G85" s="10"/>
      <c r="H85" s="31">
        <v>0</v>
      </c>
      <c r="I85" s="10">
        <f t="shared" si="18"/>
        <v>0</v>
      </c>
      <c r="J85" s="10">
        <f t="shared" si="22"/>
        <v>0</v>
      </c>
      <c r="K85" s="300">
        <f t="shared" si="19"/>
        <v>-1</v>
      </c>
      <c r="L85" s="302">
        <f t="shared" si="19"/>
        <v>-1</v>
      </c>
      <c r="N85" s="139">
        <f t="shared" si="20"/>
        <v>-1570</v>
      </c>
      <c r="O85" s="139">
        <f t="shared" si="21"/>
        <v>-1042</v>
      </c>
      <c r="Q85" s="143">
        <v>1570</v>
      </c>
      <c r="R85" s="143">
        <v>1042</v>
      </c>
    </row>
    <row r="86" spans="1:18" ht="13" x14ac:dyDescent="0.3">
      <c r="A86" t="s">
        <v>20</v>
      </c>
      <c r="B86" s="10"/>
      <c r="C86" s="10"/>
      <c r="D86" s="10"/>
      <c r="E86" s="10"/>
      <c r="F86" s="10"/>
      <c r="G86" s="10"/>
      <c r="H86" s="31">
        <v>0</v>
      </c>
      <c r="I86" s="10">
        <f t="shared" si="18"/>
        <v>0</v>
      </c>
      <c r="J86" s="10">
        <f t="shared" si="22"/>
        <v>0</v>
      </c>
      <c r="K86" s="300">
        <f t="shared" si="19"/>
        <v>-1</v>
      </c>
      <c r="L86" s="302">
        <f t="shared" si="19"/>
        <v>-1</v>
      </c>
      <c r="N86" s="139">
        <f t="shared" si="20"/>
        <v>-1377</v>
      </c>
      <c r="O86" s="139">
        <f t="shared" si="21"/>
        <v>-982</v>
      </c>
      <c r="Q86" s="143">
        <v>1377</v>
      </c>
      <c r="R86" s="143">
        <v>982</v>
      </c>
    </row>
    <row r="87" spans="1:18" ht="13" x14ac:dyDescent="0.3">
      <c r="A87" t="s">
        <v>21</v>
      </c>
      <c r="B87" s="10"/>
      <c r="C87" s="10"/>
      <c r="D87" s="10"/>
      <c r="E87" s="10"/>
      <c r="F87" s="10"/>
      <c r="G87" s="10"/>
      <c r="H87" s="31">
        <v>0</v>
      </c>
      <c r="I87" s="10">
        <f t="shared" si="18"/>
        <v>0</v>
      </c>
      <c r="J87" s="10">
        <f t="shared" si="22"/>
        <v>0</v>
      </c>
      <c r="K87" s="300">
        <f t="shared" si="19"/>
        <v>-1</v>
      </c>
      <c r="L87" s="302">
        <f t="shared" si="19"/>
        <v>-1</v>
      </c>
      <c r="N87" s="139">
        <f t="shared" si="20"/>
        <v>-1190</v>
      </c>
      <c r="O87" s="139">
        <f t="shared" si="21"/>
        <v>-798</v>
      </c>
      <c r="Q87" s="143">
        <v>1190</v>
      </c>
      <c r="R87" s="143">
        <v>798</v>
      </c>
    </row>
    <row r="88" spans="1:18" ht="13" x14ac:dyDescent="0.3">
      <c r="A88" s="4" t="s">
        <v>22</v>
      </c>
      <c r="B88" s="11"/>
      <c r="C88" s="11"/>
      <c r="D88" s="11"/>
      <c r="E88" s="11"/>
      <c r="F88" s="11"/>
      <c r="G88" s="11"/>
      <c r="H88" s="30">
        <v>0</v>
      </c>
      <c r="I88" s="11">
        <f>SUM(C88:G88)</f>
        <v>0</v>
      </c>
      <c r="J88" s="11">
        <f t="shared" si="22"/>
        <v>0</v>
      </c>
      <c r="K88" s="303">
        <f t="shared" si="19"/>
        <v>-1</v>
      </c>
      <c r="L88" s="304">
        <f t="shared" si="19"/>
        <v>-1</v>
      </c>
      <c r="N88" s="139">
        <f t="shared" si="20"/>
        <v>-1075</v>
      </c>
      <c r="O88" s="139">
        <f t="shared" si="21"/>
        <v>-738</v>
      </c>
      <c r="Q88" s="169">
        <v>1075</v>
      </c>
      <c r="R88" s="169">
        <v>738</v>
      </c>
    </row>
    <row r="89" spans="1:18" ht="13" x14ac:dyDescent="0.3">
      <c r="A89" s="36" t="s">
        <v>188</v>
      </c>
      <c r="B89" s="8">
        <f t="shared" ref="B89:J89" si="23">SUM(B77:B88)</f>
        <v>7781</v>
      </c>
      <c r="C89" s="8">
        <f t="shared" si="23"/>
        <v>4830</v>
      </c>
      <c r="D89" s="8">
        <f t="shared" si="23"/>
        <v>147</v>
      </c>
      <c r="E89" s="8">
        <f t="shared" si="23"/>
        <v>0</v>
      </c>
      <c r="F89" s="8">
        <f t="shared" si="23"/>
        <v>215</v>
      </c>
      <c r="G89" s="8">
        <f t="shared" si="23"/>
        <v>28</v>
      </c>
      <c r="H89" s="31">
        <f t="shared" si="23"/>
        <v>0</v>
      </c>
      <c r="I89" s="8">
        <f t="shared" si="23"/>
        <v>5220</v>
      </c>
      <c r="J89" s="8">
        <f t="shared" si="23"/>
        <v>3484</v>
      </c>
      <c r="K89" s="300">
        <f t="shared" si="19"/>
        <v>-0.52240363368524434</v>
      </c>
      <c r="L89" s="302">
        <f t="shared" si="19"/>
        <v>-0.5389099902835438</v>
      </c>
      <c r="N89" s="139">
        <f>SUM(N77:N88)</f>
        <v>-8511</v>
      </c>
      <c r="O89" s="139">
        <f>SUM(O77:O88)</f>
        <v>-6101</v>
      </c>
      <c r="Q89" s="143">
        <v>16292</v>
      </c>
      <c r="R89" s="143">
        <v>11321</v>
      </c>
    </row>
    <row r="90" spans="1:18" ht="13" x14ac:dyDescent="0.3">
      <c r="A90" s="37" t="s">
        <v>184</v>
      </c>
      <c r="B90" s="9">
        <v>16292</v>
      </c>
      <c r="C90" s="9">
        <v>9803</v>
      </c>
      <c r="D90" s="9">
        <v>555</v>
      </c>
      <c r="E90" s="9">
        <v>0</v>
      </c>
      <c r="F90" s="9">
        <v>717</v>
      </c>
      <c r="G90" s="9">
        <v>246</v>
      </c>
      <c r="H90" s="30">
        <v>0</v>
      </c>
      <c r="I90" s="9">
        <v>11321</v>
      </c>
      <c r="J90" s="9">
        <v>9511</v>
      </c>
      <c r="K90" s="248"/>
      <c r="L90" s="306"/>
    </row>
    <row r="91" spans="1:18" ht="13" x14ac:dyDescent="0.3">
      <c r="A91" s="5" t="s">
        <v>23</v>
      </c>
      <c r="B91" s="9">
        <f t="shared" ref="B91:J91" si="24">B89-B90</f>
        <v>-8511</v>
      </c>
      <c r="C91" s="9">
        <f t="shared" si="24"/>
        <v>-4973</v>
      </c>
      <c r="D91" s="9">
        <f t="shared" si="24"/>
        <v>-408</v>
      </c>
      <c r="E91" s="9">
        <f t="shared" si="24"/>
        <v>0</v>
      </c>
      <c r="F91" s="9">
        <f t="shared" si="24"/>
        <v>-502</v>
      </c>
      <c r="G91" s="9">
        <f t="shared" si="24"/>
        <v>-218</v>
      </c>
      <c r="H91" s="30">
        <f t="shared" si="24"/>
        <v>0</v>
      </c>
      <c r="I91" s="9">
        <f t="shared" si="24"/>
        <v>-6101</v>
      </c>
      <c r="J91" s="9">
        <f t="shared" si="24"/>
        <v>-6027</v>
      </c>
      <c r="K91" s="19"/>
      <c r="L91" s="121"/>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Q35"/>
  <sheetViews>
    <sheetView zoomScale="90" workbookViewId="0">
      <selection activeCell="K47" sqref="K47"/>
    </sheetView>
  </sheetViews>
  <sheetFormatPr defaultRowHeight="12.75" customHeight="1" x14ac:dyDescent="0.25"/>
  <cols>
    <col min="1" max="1" width="13.54296875" customWidth="1"/>
    <col min="2" max="2" width="12.54296875" customWidth="1"/>
    <col min="3" max="3" width="12.36328125" customWidth="1"/>
    <col min="4" max="4" width="11.08984375" customWidth="1"/>
    <col min="5" max="5" width="13" customWidth="1"/>
    <col min="6" max="6" width="11.54296875" customWidth="1"/>
    <col min="7" max="7" width="12.36328125" customWidth="1"/>
    <col min="8" max="8" width="11.453125" customWidth="1"/>
    <col min="9" max="9" width="12.453125" customWidth="1"/>
    <col min="10" max="10" width="11.54296875" customWidth="1"/>
    <col min="11" max="11" width="12.54296875" customWidth="1"/>
    <col min="12" max="12" width="15" customWidth="1"/>
    <col min="13" max="13" width="13" customWidth="1"/>
    <col min="14" max="15" width="9.08984375" customWidth="1"/>
  </cols>
  <sheetData>
    <row r="1" spans="1:14" ht="12.5" x14ac:dyDescent="0.25">
      <c r="B1" s="14"/>
      <c r="C1" s="14"/>
      <c r="D1" s="14"/>
      <c r="E1" s="14"/>
      <c r="F1" s="14"/>
      <c r="G1" s="14"/>
      <c r="H1" s="14"/>
      <c r="I1" s="14"/>
      <c r="J1" s="14"/>
      <c r="K1" s="14"/>
    </row>
    <row r="2" spans="1:14" ht="13" thickBot="1" x14ac:dyDescent="0.3">
      <c r="B2" s="14"/>
      <c r="C2" s="14"/>
      <c r="D2" s="14"/>
      <c r="E2" s="14"/>
      <c r="F2" s="14"/>
      <c r="G2" s="14"/>
      <c r="H2" s="14"/>
      <c r="I2" s="14"/>
      <c r="J2" s="14"/>
      <c r="K2" s="14"/>
    </row>
    <row r="3" spans="1:14" ht="20.5" thickBot="1" x14ac:dyDescent="0.45">
      <c r="A3" s="319" t="s">
        <v>100</v>
      </c>
      <c r="B3" s="320"/>
      <c r="C3" s="320"/>
      <c r="D3" s="320"/>
      <c r="E3" s="320"/>
      <c r="F3" s="320"/>
      <c r="G3" s="320"/>
      <c r="H3" s="320"/>
      <c r="I3" s="320"/>
      <c r="J3" s="320"/>
      <c r="K3" s="320"/>
      <c r="L3" s="321"/>
      <c r="M3" s="322"/>
    </row>
    <row r="4" spans="1:14" ht="16" thickBot="1" x14ac:dyDescent="0.4">
      <c r="A4" s="54" t="s">
        <v>0</v>
      </c>
      <c r="B4" s="59" t="s">
        <v>72</v>
      </c>
      <c r="C4" s="60" t="s">
        <v>73</v>
      </c>
      <c r="D4" s="132" t="s">
        <v>78</v>
      </c>
      <c r="E4" s="133" t="s">
        <v>80</v>
      </c>
      <c r="F4" s="132" t="s">
        <v>79</v>
      </c>
      <c r="G4" s="133" t="s">
        <v>82</v>
      </c>
      <c r="H4" s="132" t="s">
        <v>84</v>
      </c>
      <c r="I4" s="133" t="s">
        <v>85</v>
      </c>
      <c r="J4" s="133" t="s">
        <v>87</v>
      </c>
      <c r="K4" s="133" t="s">
        <v>92</v>
      </c>
      <c r="L4" s="133" t="s">
        <v>94</v>
      </c>
      <c r="M4" s="133" t="s">
        <v>99</v>
      </c>
    </row>
    <row r="5" spans="1:14" ht="15.5" x14ac:dyDescent="0.35">
      <c r="A5" s="135" t="s">
        <v>11</v>
      </c>
      <c r="B5" s="209">
        <v>48482</v>
      </c>
      <c r="C5" s="210">
        <v>30480</v>
      </c>
      <c r="D5" s="209">
        <v>47595</v>
      </c>
      <c r="E5" s="210">
        <v>32515</v>
      </c>
      <c r="F5" s="209">
        <v>48840</v>
      </c>
      <c r="G5" s="210">
        <v>30406</v>
      </c>
      <c r="H5" s="209">
        <v>49367</v>
      </c>
      <c r="I5" s="210">
        <v>30229</v>
      </c>
      <c r="J5" s="209">
        <v>45850</v>
      </c>
      <c r="K5" s="211">
        <v>28895</v>
      </c>
      <c r="L5" s="137">
        <v>46816</v>
      </c>
      <c r="M5" s="134">
        <v>29994</v>
      </c>
      <c r="N5" s="12"/>
    </row>
    <row r="6" spans="1:14" ht="15.5" x14ac:dyDescent="0.35">
      <c r="A6" s="135" t="s">
        <v>12</v>
      </c>
      <c r="B6" s="212">
        <v>46825</v>
      </c>
      <c r="C6" s="213">
        <v>29314</v>
      </c>
      <c r="D6" s="212">
        <v>43880</v>
      </c>
      <c r="E6" s="213">
        <v>29900</v>
      </c>
      <c r="F6" s="212">
        <v>44128</v>
      </c>
      <c r="G6" s="213">
        <v>27837</v>
      </c>
      <c r="H6" s="212">
        <v>46266</v>
      </c>
      <c r="I6" s="213">
        <v>29009</v>
      </c>
      <c r="J6" s="212">
        <v>44588</v>
      </c>
      <c r="K6" s="214">
        <v>28828</v>
      </c>
      <c r="L6" s="136">
        <v>43154</v>
      </c>
      <c r="M6" s="134">
        <v>27853</v>
      </c>
      <c r="N6" s="12"/>
    </row>
    <row r="7" spans="1:14" ht="15.5" x14ac:dyDescent="0.35">
      <c r="A7" s="135" t="s">
        <v>13</v>
      </c>
      <c r="B7" s="212">
        <v>59832</v>
      </c>
      <c r="C7" s="213">
        <v>35899</v>
      </c>
      <c r="D7" s="212">
        <v>55706</v>
      </c>
      <c r="E7" s="213">
        <v>37393</v>
      </c>
      <c r="F7" s="212">
        <v>56085</v>
      </c>
      <c r="G7" s="213">
        <v>33941</v>
      </c>
      <c r="H7" s="212">
        <v>57371</v>
      </c>
      <c r="I7" s="213">
        <v>36478</v>
      </c>
      <c r="J7" s="212">
        <v>58616</v>
      </c>
      <c r="K7" s="214">
        <v>36124</v>
      </c>
      <c r="L7" s="136">
        <v>54014</v>
      </c>
      <c r="M7" s="134">
        <v>34305</v>
      </c>
      <c r="N7" s="12"/>
    </row>
    <row r="8" spans="1:14" ht="15.5" x14ac:dyDescent="0.35">
      <c r="A8" s="135" t="s">
        <v>14</v>
      </c>
      <c r="B8" s="212">
        <v>71243</v>
      </c>
      <c r="C8" s="213">
        <v>41734</v>
      </c>
      <c r="D8" s="212">
        <v>63940</v>
      </c>
      <c r="E8" s="213">
        <v>44727</v>
      </c>
      <c r="F8" s="212">
        <v>69515</v>
      </c>
      <c r="G8" s="213">
        <v>42095</v>
      </c>
      <c r="H8" s="212">
        <v>70079</v>
      </c>
      <c r="I8" s="213">
        <v>42956</v>
      </c>
      <c r="J8" s="212">
        <v>63101</v>
      </c>
      <c r="K8" s="214">
        <v>39929</v>
      </c>
      <c r="L8" s="136">
        <v>68204</v>
      </c>
      <c r="M8" s="134">
        <v>41030</v>
      </c>
      <c r="N8" s="12"/>
    </row>
    <row r="9" spans="1:14" ht="15.5" x14ac:dyDescent="0.35">
      <c r="A9" s="135" t="s">
        <v>15</v>
      </c>
      <c r="B9" s="212">
        <v>94966</v>
      </c>
      <c r="C9" s="213">
        <v>52834</v>
      </c>
      <c r="D9" s="212">
        <v>99092</v>
      </c>
      <c r="E9" s="213">
        <v>60613</v>
      </c>
      <c r="F9" s="212">
        <v>88245</v>
      </c>
      <c r="G9" s="213">
        <v>50300</v>
      </c>
      <c r="H9" s="212">
        <v>87924</v>
      </c>
      <c r="I9" s="213">
        <v>48903</v>
      </c>
      <c r="J9" s="212">
        <v>88773</v>
      </c>
      <c r="K9" s="214">
        <v>52280</v>
      </c>
      <c r="L9" s="136">
        <v>87519</v>
      </c>
      <c r="M9" s="134">
        <v>50624</v>
      </c>
      <c r="N9" s="12"/>
    </row>
    <row r="10" spans="1:14" ht="15.5" x14ac:dyDescent="0.35">
      <c r="A10" s="135" t="s">
        <v>16</v>
      </c>
      <c r="B10" s="212">
        <v>119362</v>
      </c>
      <c r="C10" s="213">
        <v>64398</v>
      </c>
      <c r="D10" s="212">
        <v>123904</v>
      </c>
      <c r="E10" s="213">
        <v>76523</v>
      </c>
      <c r="F10" s="212">
        <v>108955</v>
      </c>
      <c r="G10" s="213">
        <v>61997</v>
      </c>
      <c r="H10" s="212">
        <v>114005</v>
      </c>
      <c r="I10" s="213">
        <v>61775</v>
      </c>
      <c r="J10" s="212">
        <v>104395</v>
      </c>
      <c r="K10" s="214">
        <v>58910</v>
      </c>
      <c r="L10" s="136">
        <v>105447</v>
      </c>
      <c r="M10" s="134">
        <v>59099.5</v>
      </c>
      <c r="N10" s="12"/>
    </row>
    <row r="11" spans="1:14" ht="15.5" x14ac:dyDescent="0.35">
      <c r="A11" s="135" t="s">
        <v>17</v>
      </c>
      <c r="B11" s="212">
        <v>189626</v>
      </c>
      <c r="C11" s="213">
        <v>99518</v>
      </c>
      <c r="D11" s="212">
        <v>182097</v>
      </c>
      <c r="E11" s="213">
        <v>96925</v>
      </c>
      <c r="F11" s="212">
        <v>167784</v>
      </c>
      <c r="G11" s="213">
        <v>93317</v>
      </c>
      <c r="H11" s="212">
        <v>178769</v>
      </c>
      <c r="I11" s="213">
        <v>88797</v>
      </c>
      <c r="J11" s="212">
        <v>168903</v>
      </c>
      <c r="K11" s="214">
        <v>88113</v>
      </c>
      <c r="L11" s="136">
        <v>156382</v>
      </c>
      <c r="M11" s="134">
        <v>86651.631944444438</v>
      </c>
      <c r="N11" s="12"/>
    </row>
    <row r="12" spans="1:14" ht="15.5" x14ac:dyDescent="0.35">
      <c r="A12" s="135" t="s">
        <v>18</v>
      </c>
      <c r="B12" s="212">
        <v>131360</v>
      </c>
      <c r="C12" s="213">
        <v>72035</v>
      </c>
      <c r="D12" s="212">
        <v>131430</v>
      </c>
      <c r="E12" s="213">
        <v>70863</v>
      </c>
      <c r="F12" s="212">
        <v>126191</v>
      </c>
      <c r="G12" s="213">
        <v>68072</v>
      </c>
      <c r="H12" s="212">
        <v>131512</v>
      </c>
      <c r="I12" s="213">
        <v>66994</v>
      </c>
      <c r="J12" s="212">
        <v>123994</v>
      </c>
      <c r="K12" s="214">
        <v>67242.423611111109</v>
      </c>
      <c r="L12" s="136">
        <v>116683</v>
      </c>
      <c r="M12" s="134">
        <v>64442.75</v>
      </c>
      <c r="N12" s="12"/>
    </row>
    <row r="13" spans="1:14" ht="15.5" x14ac:dyDescent="0.35">
      <c r="A13" s="135" t="s">
        <v>19</v>
      </c>
      <c r="B13" s="212">
        <v>83287</v>
      </c>
      <c r="C13" s="213">
        <v>48501</v>
      </c>
      <c r="D13" s="212">
        <v>77378</v>
      </c>
      <c r="E13" s="213">
        <v>44369</v>
      </c>
      <c r="F13" s="212">
        <v>82345</v>
      </c>
      <c r="G13" s="213">
        <v>46607</v>
      </c>
      <c r="H13" s="212">
        <v>86285.447916666672</v>
      </c>
      <c r="I13" s="213">
        <v>45627</v>
      </c>
      <c r="J13" s="212">
        <v>85515</v>
      </c>
      <c r="K13" s="214">
        <v>47337</v>
      </c>
      <c r="L13" s="136">
        <v>77939</v>
      </c>
      <c r="M13" s="134">
        <v>46483</v>
      </c>
      <c r="N13" s="12"/>
    </row>
    <row r="14" spans="1:14" ht="15.5" x14ac:dyDescent="0.35">
      <c r="A14" s="135" t="s">
        <v>20</v>
      </c>
      <c r="B14" s="212">
        <v>70623</v>
      </c>
      <c r="C14" s="213">
        <v>44417</v>
      </c>
      <c r="D14" s="212">
        <v>68152</v>
      </c>
      <c r="E14" s="213">
        <v>42175</v>
      </c>
      <c r="F14" s="212">
        <v>72808</v>
      </c>
      <c r="G14" s="213">
        <v>44600</v>
      </c>
      <c r="H14" s="212">
        <v>83203</v>
      </c>
      <c r="I14" s="213">
        <v>44074</v>
      </c>
      <c r="J14" s="212">
        <v>66901</v>
      </c>
      <c r="K14" s="214">
        <v>42223</v>
      </c>
      <c r="L14" s="136">
        <v>64851</v>
      </c>
      <c r="M14" s="134">
        <v>41746</v>
      </c>
      <c r="N14" s="12"/>
    </row>
    <row r="15" spans="1:14" ht="15.5" x14ac:dyDescent="0.35">
      <c r="A15" s="135" t="s">
        <v>21</v>
      </c>
      <c r="B15" s="212">
        <v>61585</v>
      </c>
      <c r="C15" s="213">
        <v>39828</v>
      </c>
      <c r="D15" s="212">
        <v>56105</v>
      </c>
      <c r="E15" s="213">
        <v>35609</v>
      </c>
      <c r="F15" s="212">
        <v>58912</v>
      </c>
      <c r="G15" s="213">
        <v>35855</v>
      </c>
      <c r="H15" s="212">
        <v>69206</v>
      </c>
      <c r="I15" s="213">
        <v>35659</v>
      </c>
      <c r="J15" s="212">
        <v>56089</v>
      </c>
      <c r="K15" s="214">
        <v>35873</v>
      </c>
      <c r="L15" s="136">
        <v>54425</v>
      </c>
      <c r="M15" s="134">
        <v>36796</v>
      </c>
      <c r="N15" s="12"/>
    </row>
    <row r="16" spans="1:14" ht="16" thickBot="1" x14ac:dyDescent="0.4">
      <c r="A16" s="135" t="s">
        <v>22</v>
      </c>
      <c r="B16" s="215">
        <v>51025</v>
      </c>
      <c r="C16" s="216">
        <v>32449</v>
      </c>
      <c r="D16" s="212">
        <v>52181</v>
      </c>
      <c r="E16" s="216">
        <v>31430</v>
      </c>
      <c r="F16" s="212">
        <v>56097</v>
      </c>
      <c r="G16" s="216">
        <v>33864</v>
      </c>
      <c r="H16" s="212">
        <v>56628</v>
      </c>
      <c r="I16" s="216">
        <v>33352</v>
      </c>
      <c r="J16" s="212">
        <v>50501</v>
      </c>
      <c r="K16" s="217">
        <v>32651</v>
      </c>
      <c r="L16" s="138">
        <v>49925</v>
      </c>
      <c r="M16" s="134">
        <v>32043</v>
      </c>
      <c r="N16" s="12"/>
    </row>
    <row r="17" spans="1:17" ht="16" thickBot="1" x14ac:dyDescent="0.4">
      <c r="A17" s="55"/>
      <c r="B17" s="57">
        <v>1028216</v>
      </c>
      <c r="C17" s="106">
        <v>591407</v>
      </c>
      <c r="D17" s="105">
        <v>1001460</v>
      </c>
      <c r="E17" s="106">
        <v>603042</v>
      </c>
      <c r="F17" s="105">
        <v>979905</v>
      </c>
      <c r="G17" s="106">
        <v>568891</v>
      </c>
      <c r="H17" s="105">
        <v>1030615.4479166666</v>
      </c>
      <c r="I17" s="106">
        <v>563853</v>
      </c>
      <c r="J17" s="106">
        <v>957226</v>
      </c>
      <c r="K17" s="106">
        <v>558405.42361111112</v>
      </c>
      <c r="L17" s="106">
        <v>925359</v>
      </c>
      <c r="M17" s="159">
        <v>551067.8819444445</v>
      </c>
    </row>
    <row r="18" spans="1:17" ht="12.5" x14ac:dyDescent="0.25">
      <c r="B18" s="14"/>
      <c r="C18" s="14"/>
      <c r="D18" s="14"/>
      <c r="E18" s="14"/>
      <c r="F18" s="14"/>
      <c r="G18" s="14"/>
      <c r="H18" s="14"/>
      <c r="I18" s="14"/>
      <c r="J18" s="14"/>
      <c r="K18" s="14"/>
    </row>
    <row r="19" spans="1:17" ht="12.5" x14ac:dyDescent="0.25">
      <c r="B19" s="14"/>
      <c r="C19" s="14"/>
      <c r="D19" s="14"/>
      <c r="E19" s="14"/>
      <c r="F19" s="14"/>
      <c r="G19" s="14"/>
      <c r="H19" s="14"/>
      <c r="I19" s="14"/>
      <c r="J19" s="14"/>
    </row>
    <row r="20" spans="1:17" ht="13" thickBot="1" x14ac:dyDescent="0.3">
      <c r="B20" s="14"/>
      <c r="C20" s="14"/>
      <c r="D20" s="14"/>
      <c r="E20" s="14"/>
      <c r="F20" s="14"/>
      <c r="G20" s="14"/>
      <c r="H20" s="14"/>
      <c r="I20" s="14"/>
      <c r="J20" s="14"/>
      <c r="M20" s="246"/>
    </row>
    <row r="21" spans="1:17" ht="20.5" thickBot="1" x14ac:dyDescent="0.45">
      <c r="A21" s="319" t="s">
        <v>109</v>
      </c>
      <c r="B21" s="320"/>
      <c r="C21" s="320"/>
      <c r="D21" s="320"/>
      <c r="E21" s="320"/>
      <c r="F21" s="320"/>
      <c r="G21" s="320"/>
      <c r="H21" s="320"/>
      <c r="I21" s="320"/>
      <c r="J21" s="320"/>
      <c r="K21" s="320"/>
      <c r="L21" s="321"/>
      <c r="M21" s="321"/>
      <c r="N21" s="258" t="s">
        <v>111</v>
      </c>
      <c r="O21" s="259"/>
      <c r="P21" s="260" t="s">
        <v>114</v>
      </c>
      <c r="Q21" s="261"/>
    </row>
    <row r="22" spans="1:17" ht="16" thickBot="1" x14ac:dyDescent="0.4">
      <c r="A22" s="54" t="s">
        <v>0</v>
      </c>
      <c r="B22" s="59" t="s">
        <v>78</v>
      </c>
      <c r="C22" s="60" t="s">
        <v>80</v>
      </c>
      <c r="D22" s="132" t="s">
        <v>79</v>
      </c>
      <c r="E22" s="133" t="s">
        <v>82</v>
      </c>
      <c r="F22" s="132" t="s">
        <v>84</v>
      </c>
      <c r="G22" s="133" t="s">
        <v>85</v>
      </c>
      <c r="H22" s="132" t="s">
        <v>87</v>
      </c>
      <c r="I22" s="133" t="s">
        <v>92</v>
      </c>
      <c r="J22" s="133" t="s">
        <v>94</v>
      </c>
      <c r="K22" s="133" t="s">
        <v>99</v>
      </c>
      <c r="L22" s="133" t="s">
        <v>103</v>
      </c>
      <c r="M22" s="256" t="s">
        <v>110</v>
      </c>
      <c r="N22" s="262" t="s">
        <v>112</v>
      </c>
      <c r="O22" s="263" t="s">
        <v>113</v>
      </c>
      <c r="P22" s="262" t="s">
        <v>112</v>
      </c>
      <c r="Q22" s="264" t="s">
        <v>113</v>
      </c>
    </row>
    <row r="23" spans="1:17" ht="15.5" x14ac:dyDescent="0.35">
      <c r="A23" s="135" t="s">
        <v>11</v>
      </c>
      <c r="B23" s="209">
        <v>47595</v>
      </c>
      <c r="C23" s="210">
        <v>32515</v>
      </c>
      <c r="D23" s="209">
        <v>48840</v>
      </c>
      <c r="E23" s="210">
        <v>30406</v>
      </c>
      <c r="F23" s="209">
        <v>49367</v>
      </c>
      <c r="G23" s="210">
        <v>30229</v>
      </c>
      <c r="H23" s="209">
        <v>45850</v>
      </c>
      <c r="I23" s="210">
        <v>28895</v>
      </c>
      <c r="J23" s="209">
        <v>46657</v>
      </c>
      <c r="K23" s="211">
        <v>29880</v>
      </c>
      <c r="L23" s="137">
        <v>46956</v>
      </c>
      <c r="M23" s="136">
        <v>30581</v>
      </c>
      <c r="N23" s="265">
        <v>299</v>
      </c>
      <c r="O23" s="266">
        <v>977</v>
      </c>
      <c r="P23" s="267">
        <v>6.4084703259960994E-3</v>
      </c>
      <c r="Q23" s="268">
        <v>3.2697456492637215E-2</v>
      </c>
    </row>
    <row r="24" spans="1:17" ht="12.75" customHeight="1" x14ac:dyDescent="0.35">
      <c r="A24" s="135" t="s">
        <v>12</v>
      </c>
      <c r="B24" s="212">
        <v>43880</v>
      </c>
      <c r="C24" s="213">
        <v>29900</v>
      </c>
      <c r="D24" s="212">
        <v>44128</v>
      </c>
      <c r="E24" s="213">
        <v>27837</v>
      </c>
      <c r="F24" s="212">
        <v>46266</v>
      </c>
      <c r="G24" s="213">
        <v>29009</v>
      </c>
      <c r="H24" s="212">
        <v>44588</v>
      </c>
      <c r="I24" s="213">
        <v>28828</v>
      </c>
      <c r="J24" s="212">
        <v>43015</v>
      </c>
      <c r="K24" s="214">
        <v>27763</v>
      </c>
      <c r="L24" s="136">
        <v>40833</v>
      </c>
      <c r="M24" s="136">
        <v>26241</v>
      </c>
      <c r="N24" s="265">
        <v>-2182</v>
      </c>
      <c r="O24" s="266">
        <v>-1520</v>
      </c>
      <c r="P24" s="267">
        <v>-5.0726490759037547E-2</v>
      </c>
      <c r="Q24" s="268">
        <v>-5.4749126535316786E-2</v>
      </c>
    </row>
    <row r="25" spans="1:17" ht="12.75" customHeight="1" x14ac:dyDescent="0.35">
      <c r="A25" s="135" t="s">
        <v>13</v>
      </c>
      <c r="B25" s="212">
        <v>55706</v>
      </c>
      <c r="C25" s="213">
        <v>37393</v>
      </c>
      <c r="D25" s="212">
        <v>56085</v>
      </c>
      <c r="E25" s="213">
        <v>33941</v>
      </c>
      <c r="F25" s="212">
        <v>57371</v>
      </c>
      <c r="G25" s="213">
        <v>36478</v>
      </c>
      <c r="H25" s="212">
        <v>58616</v>
      </c>
      <c r="I25" s="213">
        <v>36124</v>
      </c>
      <c r="J25" s="212">
        <v>53856</v>
      </c>
      <c r="K25" s="214">
        <v>34196</v>
      </c>
      <c r="L25" s="136">
        <v>50175</v>
      </c>
      <c r="M25" s="136">
        <v>32317</v>
      </c>
      <c r="N25" s="265">
        <v>-3681</v>
      </c>
      <c r="O25" s="266">
        <v>-1817</v>
      </c>
      <c r="P25" s="267">
        <v>-6.8348930481283418E-2</v>
      </c>
      <c r="Q25" s="268">
        <v>-5.3134869575388932E-2</v>
      </c>
    </row>
    <row r="26" spans="1:17" ht="12.75" customHeight="1" x14ac:dyDescent="0.35">
      <c r="A26" s="135" t="s">
        <v>14</v>
      </c>
      <c r="B26" s="212">
        <v>63940</v>
      </c>
      <c r="C26" s="213">
        <v>44727</v>
      </c>
      <c r="D26" s="212">
        <v>69515</v>
      </c>
      <c r="E26" s="213">
        <v>42095</v>
      </c>
      <c r="F26" s="212">
        <v>70079</v>
      </c>
      <c r="G26" s="213">
        <v>42956</v>
      </c>
      <c r="H26" s="212">
        <v>63101</v>
      </c>
      <c r="I26" s="213">
        <v>39929</v>
      </c>
      <c r="J26" s="212">
        <v>67964</v>
      </c>
      <c r="K26" s="214">
        <v>40876</v>
      </c>
      <c r="L26" s="136">
        <v>61091</v>
      </c>
      <c r="M26" s="136">
        <v>37393</v>
      </c>
      <c r="N26" s="265">
        <v>-6873</v>
      </c>
      <c r="O26" s="266">
        <v>-3481</v>
      </c>
      <c r="P26" s="267">
        <v>-0.10112706727090813</v>
      </c>
      <c r="Q26" s="268">
        <v>-8.5159996085722667E-2</v>
      </c>
    </row>
    <row r="27" spans="1:17" ht="12.75" customHeight="1" x14ac:dyDescent="0.35">
      <c r="A27" s="135" t="s">
        <v>15</v>
      </c>
      <c r="B27" s="212">
        <v>99092</v>
      </c>
      <c r="C27" s="213">
        <v>60613</v>
      </c>
      <c r="D27" s="212">
        <v>88245</v>
      </c>
      <c r="E27" s="213">
        <v>50300</v>
      </c>
      <c r="F27" s="212">
        <v>87924</v>
      </c>
      <c r="G27" s="213">
        <v>48903</v>
      </c>
      <c r="H27" s="212">
        <v>88773</v>
      </c>
      <c r="I27" s="213">
        <v>52280</v>
      </c>
      <c r="J27" s="212">
        <v>87218</v>
      </c>
      <c r="K27" s="214">
        <v>50463</v>
      </c>
      <c r="L27" s="136">
        <v>87397</v>
      </c>
      <c r="M27" s="136">
        <v>51809</v>
      </c>
      <c r="N27" s="265">
        <v>179</v>
      </c>
      <c r="O27" s="266">
        <v>1622</v>
      </c>
      <c r="P27" s="267">
        <v>2.0523286477561972E-3</v>
      </c>
      <c r="Q27" s="268">
        <v>3.2142361730376712E-2</v>
      </c>
    </row>
    <row r="28" spans="1:17" ht="12.75" customHeight="1" x14ac:dyDescent="0.35">
      <c r="A28" s="135" t="s">
        <v>16</v>
      </c>
      <c r="B28" s="212">
        <v>123904</v>
      </c>
      <c r="C28" s="213">
        <v>76523</v>
      </c>
      <c r="D28" s="212">
        <v>108955</v>
      </c>
      <c r="E28" s="213">
        <v>61997</v>
      </c>
      <c r="F28" s="212">
        <v>114005</v>
      </c>
      <c r="G28" s="213">
        <v>61775</v>
      </c>
      <c r="H28" s="212">
        <v>104395</v>
      </c>
      <c r="I28" s="213">
        <v>58910</v>
      </c>
      <c r="J28" s="212">
        <v>104985</v>
      </c>
      <c r="K28" s="214">
        <v>58866.5</v>
      </c>
      <c r="L28" s="136">
        <v>105144</v>
      </c>
      <c r="M28" s="136">
        <v>58513</v>
      </c>
      <c r="N28" s="265">
        <v>159</v>
      </c>
      <c r="O28" s="266">
        <v>81.5</v>
      </c>
      <c r="P28" s="267">
        <v>1.5145020717245322E-3</v>
      </c>
      <c r="Q28" s="268">
        <v>1.3844886310550144E-3</v>
      </c>
    </row>
    <row r="29" spans="1:17" ht="12.75" customHeight="1" x14ac:dyDescent="0.35">
      <c r="A29" s="135" t="s">
        <v>17</v>
      </c>
      <c r="B29" s="212">
        <v>182097</v>
      </c>
      <c r="C29" s="213">
        <v>96925</v>
      </c>
      <c r="D29" s="212">
        <v>167784</v>
      </c>
      <c r="E29" s="213">
        <v>93317</v>
      </c>
      <c r="F29" s="212">
        <v>178769</v>
      </c>
      <c r="G29" s="213">
        <v>88797</v>
      </c>
      <c r="H29" s="212">
        <v>168903</v>
      </c>
      <c r="I29" s="213">
        <v>88113</v>
      </c>
      <c r="J29" s="212">
        <v>155796</v>
      </c>
      <c r="K29" s="214">
        <v>86341.631944444438</v>
      </c>
      <c r="L29" s="136">
        <v>161895</v>
      </c>
      <c r="M29" s="136">
        <v>84182</v>
      </c>
      <c r="N29" s="265">
        <v>6099</v>
      </c>
      <c r="O29" s="266">
        <v>103.36805555556202</v>
      </c>
      <c r="P29" s="267">
        <v>3.9147346530077794E-2</v>
      </c>
      <c r="Q29" s="268">
        <v>1.197198306630028E-3</v>
      </c>
    </row>
    <row r="30" spans="1:17" ht="12.75" customHeight="1" x14ac:dyDescent="0.35">
      <c r="A30" s="135" t="s">
        <v>18</v>
      </c>
      <c r="B30" s="212">
        <v>131430</v>
      </c>
      <c r="C30" s="213">
        <v>70863</v>
      </c>
      <c r="D30" s="212">
        <v>126191</v>
      </c>
      <c r="E30" s="213">
        <v>68072</v>
      </c>
      <c r="F30" s="212">
        <v>131512</v>
      </c>
      <c r="G30" s="213">
        <v>66994</v>
      </c>
      <c r="H30" s="212">
        <v>123994</v>
      </c>
      <c r="I30" s="213">
        <v>67242.423611111109</v>
      </c>
      <c r="J30" s="212">
        <v>116683</v>
      </c>
      <c r="K30" s="214">
        <v>64442.75</v>
      </c>
      <c r="L30" s="136">
        <v>113796</v>
      </c>
      <c r="M30" s="136">
        <v>63142</v>
      </c>
      <c r="N30" s="265">
        <v>-2887</v>
      </c>
      <c r="O30" s="266">
        <v>-414.75</v>
      </c>
      <c r="P30" s="267">
        <v>-2.4742250370662393E-2</v>
      </c>
      <c r="Q30" s="268">
        <v>-6.4359450830388217E-3</v>
      </c>
    </row>
    <row r="31" spans="1:17" ht="12.75" customHeight="1" x14ac:dyDescent="0.35">
      <c r="A31" s="135" t="s">
        <v>19</v>
      </c>
      <c r="B31" s="212">
        <v>77378</v>
      </c>
      <c r="C31" s="213">
        <v>44369</v>
      </c>
      <c r="D31" s="212">
        <v>82345</v>
      </c>
      <c r="E31" s="213">
        <v>46607</v>
      </c>
      <c r="F31" s="212">
        <v>86285.447916666672</v>
      </c>
      <c r="G31" s="213">
        <v>45627</v>
      </c>
      <c r="H31" s="212">
        <v>85515</v>
      </c>
      <c r="I31" s="213">
        <v>47337</v>
      </c>
      <c r="J31" s="212">
        <v>77690</v>
      </c>
      <c r="K31" s="214">
        <v>46346</v>
      </c>
      <c r="L31" s="136">
        <v>73263</v>
      </c>
      <c r="M31" s="136">
        <v>44002</v>
      </c>
      <c r="N31" s="265">
        <v>-4427</v>
      </c>
      <c r="O31" s="266">
        <v>-2178</v>
      </c>
      <c r="P31" s="267">
        <v>-5.6982880679624148E-2</v>
      </c>
      <c r="Q31" s="268">
        <v>-4.6994346869201224E-2</v>
      </c>
    </row>
    <row r="32" spans="1:17" ht="12.75" customHeight="1" x14ac:dyDescent="0.35">
      <c r="A32" s="135" t="s">
        <v>20</v>
      </c>
      <c r="B32" s="212">
        <v>68152</v>
      </c>
      <c r="C32" s="213">
        <v>42175</v>
      </c>
      <c r="D32" s="212">
        <v>72808</v>
      </c>
      <c r="E32" s="213">
        <v>44600</v>
      </c>
      <c r="F32" s="212">
        <v>83203</v>
      </c>
      <c r="G32" s="213">
        <v>44074</v>
      </c>
      <c r="H32" s="212">
        <v>66901</v>
      </c>
      <c r="I32" s="213">
        <v>42223</v>
      </c>
      <c r="J32" s="212">
        <v>64589</v>
      </c>
      <c r="K32" s="214">
        <v>41597</v>
      </c>
      <c r="L32" s="136">
        <v>68903</v>
      </c>
      <c r="M32" s="136">
        <v>43823</v>
      </c>
      <c r="N32" s="265">
        <v>4314</v>
      </c>
      <c r="O32" s="266">
        <v>2226</v>
      </c>
      <c r="P32" s="267">
        <v>6.6791558934183842E-2</v>
      </c>
      <c r="Q32" s="268">
        <v>5.3513474529413178E-2</v>
      </c>
    </row>
    <row r="33" spans="1:17" ht="12.75" customHeight="1" x14ac:dyDescent="0.35">
      <c r="A33" s="135" t="s">
        <v>21</v>
      </c>
      <c r="B33" s="212">
        <v>56105</v>
      </c>
      <c r="C33" s="213">
        <v>35609</v>
      </c>
      <c r="D33" s="212">
        <v>58912</v>
      </c>
      <c r="E33" s="213">
        <v>35855</v>
      </c>
      <c r="F33" s="212">
        <v>69206</v>
      </c>
      <c r="G33" s="213">
        <v>35659</v>
      </c>
      <c r="H33" s="212">
        <v>56089</v>
      </c>
      <c r="I33" s="213">
        <v>35873</v>
      </c>
      <c r="J33" s="212">
        <v>54206</v>
      </c>
      <c r="K33" s="214">
        <v>36399</v>
      </c>
      <c r="L33" s="136">
        <v>56380</v>
      </c>
      <c r="M33" s="136">
        <v>36104</v>
      </c>
      <c r="N33" s="265">
        <v>2174</v>
      </c>
      <c r="O33" s="266">
        <v>-295</v>
      </c>
      <c r="P33" s="267">
        <v>4.0106261299487141E-2</v>
      </c>
      <c r="Q33" s="268">
        <v>-8.1046182587433714E-3</v>
      </c>
    </row>
    <row r="34" spans="1:17" ht="12.75" customHeight="1" thickBot="1" x14ac:dyDescent="0.4">
      <c r="A34" s="135" t="s">
        <v>22</v>
      </c>
      <c r="B34" s="215">
        <v>52181</v>
      </c>
      <c r="C34" s="216">
        <v>31430</v>
      </c>
      <c r="D34" s="212">
        <v>56097</v>
      </c>
      <c r="E34" s="216">
        <v>33864</v>
      </c>
      <c r="F34" s="212">
        <v>56628</v>
      </c>
      <c r="G34" s="216">
        <v>33352</v>
      </c>
      <c r="H34" s="212">
        <v>50501</v>
      </c>
      <c r="I34" s="216">
        <v>32651</v>
      </c>
      <c r="J34" s="212">
        <v>49725</v>
      </c>
      <c r="K34" s="217">
        <v>31923</v>
      </c>
      <c r="L34" s="136">
        <v>50288</v>
      </c>
      <c r="M34" s="136">
        <v>31129</v>
      </c>
      <c r="N34" s="265">
        <v>563</v>
      </c>
      <c r="O34" s="266">
        <v>-794</v>
      </c>
      <c r="P34" s="267">
        <v>1.1322272498743086E-2</v>
      </c>
      <c r="Q34" s="268">
        <v>-2.4872349089997806E-2</v>
      </c>
    </row>
    <row r="35" spans="1:17" ht="12.75" customHeight="1" thickBot="1" x14ac:dyDescent="0.4">
      <c r="A35" s="55"/>
      <c r="B35" s="57">
        <v>1001460</v>
      </c>
      <c r="C35" s="106">
        <v>603042</v>
      </c>
      <c r="D35" s="105">
        <v>979905</v>
      </c>
      <c r="E35" s="106">
        <v>568891</v>
      </c>
      <c r="F35" s="105">
        <v>1030615.4479166666</v>
      </c>
      <c r="G35" s="106">
        <v>563853</v>
      </c>
      <c r="H35" s="105">
        <v>957226</v>
      </c>
      <c r="I35" s="106">
        <v>558405.42361111112</v>
      </c>
      <c r="J35" s="106">
        <v>922384</v>
      </c>
      <c r="K35" s="106">
        <v>549093.8819444445</v>
      </c>
      <c r="L35" s="106">
        <v>777540</v>
      </c>
      <c r="M35" s="257">
        <v>450940</v>
      </c>
      <c r="N35" s="269"/>
      <c r="O35" s="270"/>
      <c r="P35" s="269"/>
      <c r="Q35" s="271"/>
    </row>
  </sheetData>
  <mergeCells count="2">
    <mergeCell ref="A21:M21"/>
    <mergeCell ref="A3:M3"/>
  </mergeCells>
  <phoneticPr fontId="4" type="noConversion"/>
  <printOptions headings="1" gridLines="1" gridLinesSet="0"/>
  <pageMargins left="0.39370078740157483" right="0.19685039370078741" top="0.78740157480314965" bottom="0.78740157480314965" header="0.51181102362204722" footer="0.51181102362204722"/>
  <pageSetup paperSize="9" scale="27"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5:L79"/>
  <sheetViews>
    <sheetView topLeftCell="A34" zoomScale="106" zoomScaleNormal="106" workbookViewId="0">
      <selection activeCell="D80" sqref="D80"/>
    </sheetView>
  </sheetViews>
  <sheetFormatPr defaultRowHeight="12.75" customHeight="1" x14ac:dyDescent="0.25"/>
  <cols>
    <col min="1" max="1" width="25.90625" customWidth="1"/>
    <col min="2" max="2" width="15" bestFit="1" customWidth="1"/>
    <col min="3" max="3" width="16.08984375" customWidth="1"/>
    <col min="4" max="5" width="19.6328125" bestFit="1" customWidth="1"/>
    <col min="6" max="6" width="15.6328125" bestFit="1" customWidth="1"/>
    <col min="7" max="7" width="14.7265625" bestFit="1" customWidth="1"/>
    <col min="8" max="8" width="15.54296875" customWidth="1"/>
    <col min="9" max="9" width="10.453125" customWidth="1"/>
    <col min="10" max="10" width="10.36328125" customWidth="1"/>
  </cols>
  <sheetData>
    <row r="5" spans="1:11" ht="12.75" customHeight="1" x14ac:dyDescent="0.35">
      <c r="A5" s="49" t="s">
        <v>33</v>
      </c>
      <c r="B5" s="324">
        <v>2016</v>
      </c>
      <c r="C5" s="325"/>
      <c r="D5" s="324">
        <v>2017</v>
      </c>
      <c r="E5" s="325"/>
      <c r="F5" s="324" t="s">
        <v>34</v>
      </c>
      <c r="G5" s="325"/>
    </row>
    <row r="6" spans="1:11" ht="12.75" customHeight="1" x14ac:dyDescent="0.35">
      <c r="A6" s="7"/>
      <c r="B6" s="127" t="s">
        <v>87</v>
      </c>
      <c r="C6" s="50" t="s">
        <v>92</v>
      </c>
      <c r="D6" s="127" t="s">
        <v>94</v>
      </c>
      <c r="E6" s="50" t="s">
        <v>99</v>
      </c>
      <c r="F6" s="49" t="s">
        <v>1</v>
      </c>
      <c r="G6" s="51" t="s">
        <v>9</v>
      </c>
      <c r="I6" s="18" t="s">
        <v>1</v>
      </c>
      <c r="J6" s="18" t="s">
        <v>9</v>
      </c>
    </row>
    <row r="7" spans="1:11" ht="12.75" customHeight="1" x14ac:dyDescent="0.25">
      <c r="A7" s="128" t="s">
        <v>35</v>
      </c>
      <c r="B7" s="218">
        <v>5109</v>
      </c>
      <c r="C7" s="218">
        <v>2837</v>
      </c>
      <c r="D7" s="219">
        <v>7331</v>
      </c>
      <c r="E7" s="218">
        <v>4277</v>
      </c>
      <c r="F7" s="224">
        <v>0.43491877079663338</v>
      </c>
      <c r="G7" s="225">
        <v>0.50757842791681351</v>
      </c>
      <c r="H7" s="12">
        <v>2555</v>
      </c>
      <c r="I7" s="141">
        <v>2222</v>
      </c>
      <c r="J7" s="141">
        <v>1440</v>
      </c>
      <c r="K7" s="247"/>
    </row>
    <row r="8" spans="1:11" ht="12.75" customHeight="1" x14ac:dyDescent="0.25">
      <c r="A8" s="128" t="s">
        <v>65</v>
      </c>
      <c r="B8" s="218">
        <v>9096</v>
      </c>
      <c r="C8" s="218">
        <v>6260</v>
      </c>
      <c r="D8" s="219">
        <v>9456</v>
      </c>
      <c r="E8" s="218">
        <v>6539</v>
      </c>
      <c r="F8" s="224">
        <v>3.9577836411609502E-2</v>
      </c>
      <c r="G8" s="225">
        <v>4.4568690095846644E-2</v>
      </c>
      <c r="H8" s="12">
        <v>6539</v>
      </c>
      <c r="I8" s="141">
        <v>360</v>
      </c>
      <c r="J8" s="141">
        <v>279</v>
      </c>
      <c r="K8" s="247"/>
    </row>
    <row r="9" spans="1:11" ht="12.75" customHeight="1" x14ac:dyDescent="0.25">
      <c r="A9" s="128" t="s">
        <v>62</v>
      </c>
      <c r="B9" s="218">
        <v>67212</v>
      </c>
      <c r="C9" s="218">
        <v>31076</v>
      </c>
      <c r="D9" s="220">
        <v>64378</v>
      </c>
      <c r="E9" s="218">
        <v>30979</v>
      </c>
      <c r="F9" s="224">
        <v>-4.2165089567339165E-2</v>
      </c>
      <c r="G9" s="225">
        <v>-3.1213798429656327E-3</v>
      </c>
      <c r="H9" s="12">
        <v>30979</v>
      </c>
      <c r="I9" s="141">
        <v>-2834</v>
      </c>
      <c r="J9" s="141">
        <v>-97</v>
      </c>
      <c r="K9" s="247"/>
    </row>
    <row r="10" spans="1:11" ht="12.75" customHeight="1" x14ac:dyDescent="0.25">
      <c r="A10" s="128" t="s">
        <v>66</v>
      </c>
      <c r="B10" s="218">
        <v>54727</v>
      </c>
      <c r="C10" s="218">
        <v>39167</v>
      </c>
      <c r="D10" s="219">
        <v>54446</v>
      </c>
      <c r="E10" s="218">
        <v>38443</v>
      </c>
      <c r="F10" s="224">
        <v>-5.134577082610046E-3</v>
      </c>
      <c r="G10" s="225">
        <v>-1.8484949064263283E-2</v>
      </c>
      <c r="H10" s="12">
        <v>38443</v>
      </c>
      <c r="I10" s="141">
        <v>-281</v>
      </c>
      <c r="J10" s="141">
        <v>-724</v>
      </c>
      <c r="K10" s="247"/>
    </row>
    <row r="11" spans="1:11" ht="12.75" customHeight="1" x14ac:dyDescent="0.25">
      <c r="A11" s="128" t="s">
        <v>63</v>
      </c>
      <c r="B11" s="218">
        <v>8839</v>
      </c>
      <c r="C11" s="218">
        <v>5350</v>
      </c>
      <c r="D11" s="219">
        <v>9426</v>
      </c>
      <c r="E11" s="218">
        <v>5536</v>
      </c>
      <c r="F11" s="224">
        <v>6.641022740128974E-2</v>
      </c>
      <c r="G11" s="225">
        <v>3.4766355140186916E-2</v>
      </c>
      <c r="H11" s="12">
        <v>5536</v>
      </c>
      <c r="I11" s="141">
        <v>587</v>
      </c>
      <c r="J11" s="141">
        <v>186</v>
      </c>
      <c r="K11" s="247"/>
    </row>
    <row r="12" spans="1:11" ht="12.75" customHeight="1" x14ac:dyDescent="0.25">
      <c r="A12" s="128" t="s">
        <v>27</v>
      </c>
      <c r="B12" s="218">
        <v>181967</v>
      </c>
      <c r="C12" s="218">
        <v>109379.42361111111</v>
      </c>
      <c r="D12" s="219">
        <v>169680</v>
      </c>
      <c r="E12" s="218">
        <v>106320</v>
      </c>
      <c r="F12" s="224">
        <v>-6.7523232234416128E-2</v>
      </c>
      <c r="G12" s="225">
        <v>-2.7970741754762031E-2</v>
      </c>
      <c r="H12" s="12">
        <v>106320</v>
      </c>
      <c r="I12" s="141">
        <v>-12287</v>
      </c>
      <c r="J12" s="141">
        <v>-3059.4236111111095</v>
      </c>
      <c r="K12" s="247"/>
    </row>
    <row r="13" spans="1:11" ht="12.75" customHeight="1" x14ac:dyDescent="0.25">
      <c r="A13" s="128" t="s">
        <v>30</v>
      </c>
      <c r="B13" s="218">
        <v>94946</v>
      </c>
      <c r="C13" s="218">
        <v>52989</v>
      </c>
      <c r="D13" s="219">
        <v>87184</v>
      </c>
      <c r="E13" s="218">
        <v>48559</v>
      </c>
      <c r="F13" s="224">
        <v>-8.1751732563773091E-2</v>
      </c>
      <c r="G13" s="225">
        <v>-8.3602257072222533E-2</v>
      </c>
      <c r="H13" s="12">
        <v>48559</v>
      </c>
      <c r="I13" s="141">
        <v>-7762</v>
      </c>
      <c r="J13" s="141">
        <v>-4430</v>
      </c>
      <c r="K13" s="247"/>
    </row>
    <row r="14" spans="1:11" ht="12.75" customHeight="1" x14ac:dyDescent="0.25">
      <c r="A14" s="128" t="s">
        <v>64</v>
      </c>
      <c r="B14" s="218">
        <v>24042</v>
      </c>
      <c r="C14" s="218">
        <v>15608</v>
      </c>
      <c r="D14" s="219">
        <v>22077</v>
      </c>
      <c r="E14" s="218">
        <v>14480</v>
      </c>
      <c r="F14" s="224">
        <v>-8.1731969054155224E-2</v>
      </c>
      <c r="G14" s="225">
        <v>-7.227063044592516E-2</v>
      </c>
      <c r="H14" s="12">
        <v>14480</v>
      </c>
      <c r="I14" s="141">
        <v>-1965</v>
      </c>
      <c r="J14" s="141">
        <v>-1128</v>
      </c>
      <c r="K14" s="247"/>
    </row>
    <row r="15" spans="1:11" ht="12.75" customHeight="1" x14ac:dyDescent="0.25">
      <c r="A15" s="128" t="s">
        <v>67</v>
      </c>
      <c r="B15" s="218">
        <v>30847</v>
      </c>
      <c r="C15" s="218">
        <v>18807</v>
      </c>
      <c r="D15" s="219">
        <v>32955</v>
      </c>
      <c r="E15" s="218">
        <v>19132</v>
      </c>
      <c r="F15" s="224">
        <v>6.8337277531040297E-2</v>
      </c>
      <c r="G15" s="225">
        <v>1.7280799702238527E-2</v>
      </c>
      <c r="H15" s="12">
        <v>19132</v>
      </c>
      <c r="I15" s="141">
        <v>2108</v>
      </c>
      <c r="J15" s="141">
        <v>325</v>
      </c>
      <c r="K15" s="247"/>
    </row>
    <row r="16" spans="1:11" ht="12.75" customHeight="1" x14ac:dyDescent="0.25">
      <c r="A16" s="128" t="s">
        <v>29</v>
      </c>
      <c r="B16" s="218">
        <v>100642</v>
      </c>
      <c r="C16" s="218">
        <v>36090.5</v>
      </c>
      <c r="D16" s="219">
        <v>100642</v>
      </c>
      <c r="E16" s="218">
        <v>36300.5</v>
      </c>
      <c r="F16" s="224">
        <v>0</v>
      </c>
      <c r="G16" s="225">
        <v>5.8187057535916652E-3</v>
      </c>
      <c r="H16" s="12">
        <v>36048.5</v>
      </c>
      <c r="I16" s="141">
        <v>0</v>
      </c>
      <c r="J16" s="141">
        <v>210</v>
      </c>
      <c r="K16" s="247"/>
    </row>
    <row r="17" spans="1:12" ht="12.75" customHeight="1" x14ac:dyDescent="0.25">
      <c r="A17" s="128" t="s">
        <v>32</v>
      </c>
      <c r="B17" s="218">
        <v>11948</v>
      </c>
      <c r="C17" s="218">
        <v>8030</v>
      </c>
      <c r="D17" s="219">
        <v>15457</v>
      </c>
      <c r="E17" s="218">
        <v>10126.75</v>
      </c>
      <c r="F17" s="224">
        <v>0.2936893203883495</v>
      </c>
      <c r="G17" s="225">
        <v>0.26111457036114571</v>
      </c>
      <c r="H17" s="12">
        <v>10126.75</v>
      </c>
      <c r="I17" s="141">
        <v>3509</v>
      </c>
      <c r="J17" s="141">
        <v>2096.75</v>
      </c>
      <c r="K17" s="247"/>
    </row>
    <row r="18" spans="1:12" ht="12.75" customHeight="1" x14ac:dyDescent="0.25">
      <c r="A18" s="128" t="s">
        <v>28</v>
      </c>
      <c r="B18" s="218">
        <v>336593</v>
      </c>
      <c r="C18" s="218">
        <v>213998</v>
      </c>
      <c r="D18" s="219">
        <v>320771</v>
      </c>
      <c r="E18" s="218">
        <v>211937</v>
      </c>
      <c r="F18" s="224">
        <v>-4.700632514639342E-2</v>
      </c>
      <c r="G18" s="225">
        <v>-9.6309311301974784E-3</v>
      </c>
      <c r="H18" s="12">
        <v>211937</v>
      </c>
      <c r="I18" s="141">
        <v>-15822</v>
      </c>
      <c r="J18" s="141">
        <v>-2061</v>
      </c>
      <c r="K18" s="247"/>
    </row>
    <row r="19" spans="1:12" ht="12.75" customHeight="1" x14ac:dyDescent="0.25">
      <c r="A19" s="128" t="s">
        <v>56</v>
      </c>
      <c r="B19" s="218">
        <v>17926</v>
      </c>
      <c r="C19" s="218">
        <v>8843</v>
      </c>
      <c r="D19" s="219">
        <v>17358</v>
      </c>
      <c r="E19" s="218">
        <v>8777.6319444444453</v>
      </c>
      <c r="F19" s="224">
        <v>-3.1685819480084795E-2</v>
      </c>
      <c r="G19" s="225">
        <v>-7.3920678000174997E-3</v>
      </c>
      <c r="H19" s="12">
        <v>8777.6319444444453</v>
      </c>
      <c r="I19" s="141">
        <v>-568</v>
      </c>
      <c r="J19" s="141">
        <v>-65.368055555554747</v>
      </c>
      <c r="K19" s="247"/>
    </row>
    <row r="20" spans="1:12" ht="12.75" customHeight="1" x14ac:dyDescent="0.25">
      <c r="A20" s="129" t="s">
        <v>68</v>
      </c>
      <c r="B20" s="218">
        <v>13332</v>
      </c>
      <c r="C20" s="218">
        <v>9153</v>
      </c>
      <c r="D20" s="221">
        <v>14198</v>
      </c>
      <c r="E20" s="222">
        <v>9661</v>
      </c>
      <c r="F20" s="226">
        <v>6.495649564956496E-2</v>
      </c>
      <c r="G20" s="227">
        <v>5.550092865727084E-2</v>
      </c>
      <c r="H20" s="12">
        <v>9661</v>
      </c>
      <c r="I20" s="245">
        <v>866</v>
      </c>
      <c r="J20" s="245">
        <v>508</v>
      </c>
      <c r="K20" s="247"/>
    </row>
    <row r="21" spans="1:12" ht="12.75" customHeight="1" x14ac:dyDescent="0.25">
      <c r="A21" s="129"/>
      <c r="B21" s="223">
        <v>957226</v>
      </c>
      <c r="C21" s="223">
        <v>558405.42361111112</v>
      </c>
      <c r="D21" s="221">
        <v>925359</v>
      </c>
      <c r="E21" s="222">
        <v>551067.8819444445</v>
      </c>
      <c r="F21" s="228">
        <v>-3.329098875291725E-2</v>
      </c>
      <c r="G21" s="228">
        <v>-1.3140169053545425E-2</v>
      </c>
      <c r="I21" s="168">
        <v>-31867</v>
      </c>
      <c r="J21" s="168">
        <v>-6520.0416666666642</v>
      </c>
    </row>
    <row r="23" spans="1:12" ht="12.75" customHeight="1" x14ac:dyDescent="0.25">
      <c r="A23" s="323" t="s">
        <v>102</v>
      </c>
      <c r="B23" s="323"/>
      <c r="C23" s="323"/>
      <c r="D23" s="323"/>
      <c r="E23" s="323"/>
      <c r="F23" s="323"/>
      <c r="G23" s="323"/>
      <c r="H23" s="323"/>
      <c r="I23" s="323"/>
      <c r="J23" s="323"/>
      <c r="K23" s="323"/>
      <c r="L23" s="323"/>
    </row>
    <row r="24" spans="1:12" ht="12.75" customHeight="1" x14ac:dyDescent="0.25">
      <c r="A24" s="323"/>
      <c r="B24" s="323"/>
      <c r="C24" s="323"/>
      <c r="D24" s="323"/>
      <c r="E24" s="323"/>
      <c r="F24" s="323"/>
      <c r="G24" s="323"/>
      <c r="H24" s="323"/>
      <c r="I24" s="323"/>
      <c r="J24" s="323"/>
      <c r="K24" s="323"/>
      <c r="L24" s="323"/>
    </row>
    <row r="25" spans="1:12" ht="12.75" customHeight="1" x14ac:dyDescent="0.25">
      <c r="A25" s="323"/>
      <c r="B25" s="323"/>
      <c r="C25" s="323"/>
      <c r="D25" s="323"/>
      <c r="E25" s="323"/>
      <c r="F25" s="323"/>
      <c r="G25" s="323"/>
      <c r="H25" s="323"/>
      <c r="I25" s="323"/>
      <c r="J25" s="323"/>
      <c r="K25" s="323"/>
      <c r="L25" s="323"/>
    </row>
    <row r="26" spans="1:12" ht="12.75" customHeight="1" x14ac:dyDescent="0.25">
      <c r="A26" s="323"/>
      <c r="B26" s="323"/>
      <c r="C26" s="323"/>
      <c r="D26" s="323"/>
      <c r="E26" s="323"/>
      <c r="F26" s="323"/>
      <c r="G26" s="323"/>
      <c r="H26" s="323"/>
      <c r="I26" s="323"/>
      <c r="J26" s="323"/>
      <c r="K26" s="323"/>
      <c r="L26" s="323"/>
    </row>
    <row r="27" spans="1:12" ht="12.75" customHeight="1" x14ac:dyDescent="0.25">
      <c r="A27" s="323"/>
      <c r="B27" s="323"/>
      <c r="C27" s="323"/>
      <c r="D27" s="323"/>
      <c r="E27" s="323"/>
      <c r="F27" s="323"/>
      <c r="G27" s="323"/>
      <c r="H27" s="323"/>
      <c r="I27" s="323"/>
      <c r="J27" s="323"/>
      <c r="K27" s="323"/>
      <c r="L27" s="323"/>
    </row>
    <row r="28" spans="1:12" ht="12.75" customHeight="1" x14ac:dyDescent="0.25">
      <c r="A28" s="323"/>
      <c r="B28" s="323"/>
      <c r="C28" s="323"/>
      <c r="D28" s="323"/>
      <c r="E28" s="323"/>
      <c r="F28" s="323"/>
      <c r="G28" s="323"/>
      <c r="H28" s="323"/>
      <c r="I28" s="323"/>
      <c r="J28" s="323"/>
      <c r="K28" s="323"/>
      <c r="L28" s="323"/>
    </row>
    <row r="29" spans="1:12" ht="12.75" customHeight="1" x14ac:dyDescent="0.25">
      <c r="A29" s="323"/>
      <c r="B29" s="323"/>
      <c r="C29" s="323"/>
      <c r="D29" s="323"/>
      <c r="E29" s="323"/>
      <c r="F29" s="323"/>
      <c r="G29" s="323"/>
      <c r="H29" s="323"/>
      <c r="I29" s="323"/>
      <c r="J29" s="323"/>
      <c r="K29" s="323"/>
      <c r="L29" s="323"/>
    </row>
    <row r="30" spans="1:12" ht="12.75" customHeight="1" x14ac:dyDescent="0.25">
      <c r="A30" s="323"/>
      <c r="B30" s="323"/>
      <c r="C30" s="323"/>
      <c r="D30" s="323"/>
      <c r="E30" s="323"/>
      <c r="F30" s="323"/>
      <c r="G30" s="323"/>
      <c r="H30" s="323"/>
      <c r="I30" s="323"/>
      <c r="J30" s="323"/>
      <c r="K30" s="323"/>
      <c r="L30" s="323"/>
    </row>
    <row r="36" spans="1:10" ht="12.75" customHeight="1" x14ac:dyDescent="0.35">
      <c r="A36" s="49" t="s">
        <v>33</v>
      </c>
      <c r="B36" s="324">
        <v>2017</v>
      </c>
      <c r="C36" s="325"/>
      <c r="D36" s="324">
        <v>2018</v>
      </c>
      <c r="E36" s="325"/>
      <c r="F36" s="324" t="s">
        <v>34</v>
      </c>
      <c r="G36" s="325"/>
    </row>
    <row r="37" spans="1:10" ht="12.75" customHeight="1" x14ac:dyDescent="0.35">
      <c r="A37" s="7"/>
      <c r="B37" s="127" t="s">
        <v>94</v>
      </c>
      <c r="C37" s="50" t="s">
        <v>99</v>
      </c>
      <c r="D37" s="127" t="s">
        <v>103</v>
      </c>
      <c r="E37" s="50" t="s">
        <v>110</v>
      </c>
      <c r="F37" s="49" t="s">
        <v>1</v>
      </c>
      <c r="G37" s="51" t="s">
        <v>9</v>
      </c>
      <c r="I37" s="18"/>
      <c r="J37" s="18"/>
    </row>
    <row r="38" spans="1:10" ht="12.75" customHeight="1" x14ac:dyDescent="0.25">
      <c r="A38" s="128" t="s">
        <v>35</v>
      </c>
      <c r="B38" s="218">
        <v>7331</v>
      </c>
      <c r="C38" s="218">
        <v>4277</v>
      </c>
      <c r="D38" s="219">
        <v>6430</v>
      </c>
      <c r="E38" s="218">
        <v>3999</v>
      </c>
      <c r="F38" s="224">
        <v>-0.12290274178147592</v>
      </c>
      <c r="G38" s="225">
        <v>-6.4998830956277759E-2</v>
      </c>
      <c r="H38" s="12"/>
      <c r="I38" s="141"/>
      <c r="J38" s="141"/>
    </row>
    <row r="39" spans="1:10" ht="12.75" customHeight="1" x14ac:dyDescent="0.25">
      <c r="A39" s="128" t="s">
        <v>65</v>
      </c>
      <c r="B39" s="218">
        <v>9456</v>
      </c>
      <c r="C39" s="218">
        <v>6539</v>
      </c>
      <c r="D39" s="219">
        <v>8833</v>
      </c>
      <c r="E39" s="218">
        <v>6058</v>
      </c>
      <c r="F39" s="224">
        <v>-6.5884094754653136E-2</v>
      </c>
      <c r="G39" s="225">
        <v>-7.3558648111332003E-2</v>
      </c>
      <c r="H39" s="12"/>
      <c r="I39" s="141"/>
      <c r="J39" s="141"/>
    </row>
    <row r="40" spans="1:10" ht="12.75" customHeight="1" x14ac:dyDescent="0.25">
      <c r="A40" s="128" t="s">
        <v>62</v>
      </c>
      <c r="B40" s="218">
        <v>64378</v>
      </c>
      <c r="C40" s="218">
        <v>30979</v>
      </c>
      <c r="D40" s="220">
        <v>59958</v>
      </c>
      <c r="E40" s="218">
        <v>29334</v>
      </c>
      <c r="F40" s="224">
        <v>-6.8656994625493184E-2</v>
      </c>
      <c r="G40" s="225">
        <v>-5.3100487426966658E-2</v>
      </c>
      <c r="H40" s="12"/>
      <c r="I40" s="141"/>
      <c r="J40" s="141"/>
    </row>
    <row r="41" spans="1:10" ht="12.75" customHeight="1" x14ac:dyDescent="0.25">
      <c r="A41" s="128" t="s">
        <v>66</v>
      </c>
      <c r="B41" s="218">
        <v>54446</v>
      </c>
      <c r="C41" s="218">
        <v>38443</v>
      </c>
      <c r="D41" s="219">
        <v>52424</v>
      </c>
      <c r="E41" s="218">
        <v>36374</v>
      </c>
      <c r="F41" s="224">
        <v>-3.7137714432648863E-2</v>
      </c>
      <c r="G41" s="225">
        <v>-5.3819941211664023E-2</v>
      </c>
      <c r="H41" s="12"/>
      <c r="I41" s="141"/>
      <c r="J41" s="141"/>
    </row>
    <row r="42" spans="1:10" ht="12.75" customHeight="1" x14ac:dyDescent="0.25">
      <c r="A42" s="128" t="s">
        <v>63</v>
      </c>
      <c r="B42" s="218">
        <v>9426</v>
      </c>
      <c r="C42" s="218">
        <v>5536</v>
      </c>
      <c r="D42" s="219">
        <v>9931</v>
      </c>
      <c r="E42" s="218">
        <v>5573</v>
      </c>
      <c r="F42" s="224">
        <v>5.357521748355612E-2</v>
      </c>
      <c r="G42" s="225">
        <v>6.6835260115606938E-3</v>
      </c>
      <c r="H42" s="12"/>
      <c r="I42" s="141"/>
      <c r="J42" s="141"/>
    </row>
    <row r="43" spans="1:10" ht="12.75" customHeight="1" x14ac:dyDescent="0.25">
      <c r="A43" s="128" t="s">
        <v>27</v>
      </c>
      <c r="B43" s="218">
        <v>169680</v>
      </c>
      <c r="C43" s="218">
        <v>106320</v>
      </c>
      <c r="D43" s="219">
        <v>172045</v>
      </c>
      <c r="E43" s="218">
        <v>109805</v>
      </c>
      <c r="F43" s="224">
        <v>1.3938000942951438E-2</v>
      </c>
      <c r="G43" s="225">
        <v>3.2778404815650863E-2</v>
      </c>
      <c r="H43" s="12"/>
      <c r="I43" s="141"/>
      <c r="J43" s="141"/>
    </row>
    <row r="44" spans="1:10" ht="12.75" customHeight="1" x14ac:dyDescent="0.25">
      <c r="A44" s="128" t="s">
        <v>30</v>
      </c>
      <c r="B44" s="218">
        <v>87184</v>
      </c>
      <c r="C44" s="218">
        <v>48559</v>
      </c>
      <c r="D44" s="219">
        <v>85620</v>
      </c>
      <c r="E44" s="218">
        <v>47173</v>
      </c>
      <c r="F44" s="224">
        <v>-1.7939071389245734E-2</v>
      </c>
      <c r="G44" s="225">
        <v>-2.8542597664696554E-2</v>
      </c>
      <c r="H44" s="12"/>
      <c r="I44" s="141"/>
      <c r="J44" s="141"/>
    </row>
    <row r="45" spans="1:10" ht="12.75" customHeight="1" x14ac:dyDescent="0.25">
      <c r="A45" s="128" t="s">
        <v>64</v>
      </c>
      <c r="B45" s="218">
        <v>22077</v>
      </c>
      <c r="C45" s="218">
        <v>14480</v>
      </c>
      <c r="D45" s="219">
        <v>23054</v>
      </c>
      <c r="E45" s="218">
        <v>14729</v>
      </c>
      <c r="F45" s="224">
        <v>4.4254201204873854E-2</v>
      </c>
      <c r="G45" s="225">
        <v>1.7196132596685083E-2</v>
      </c>
      <c r="H45" s="12"/>
      <c r="I45" s="141"/>
      <c r="J45" s="141"/>
    </row>
    <row r="46" spans="1:10" ht="12.75" customHeight="1" x14ac:dyDescent="0.25">
      <c r="A46" s="128" t="s">
        <v>67</v>
      </c>
      <c r="B46" s="218">
        <v>32955</v>
      </c>
      <c r="C46" s="218">
        <v>19132</v>
      </c>
      <c r="D46" s="219">
        <v>30687</v>
      </c>
      <c r="E46" s="218">
        <v>19287</v>
      </c>
      <c r="F46" s="224">
        <v>-6.8821119708693673E-2</v>
      </c>
      <c r="G46" s="225">
        <v>8.1016098682835033E-3</v>
      </c>
      <c r="H46" s="12"/>
      <c r="I46" s="141"/>
      <c r="J46" s="141"/>
    </row>
    <row r="47" spans="1:10" ht="12.75" customHeight="1" x14ac:dyDescent="0.25">
      <c r="A47" s="128" t="s">
        <v>29</v>
      </c>
      <c r="B47" s="218">
        <v>100848</v>
      </c>
      <c r="C47" s="218">
        <v>36048.5</v>
      </c>
      <c r="D47" s="219">
        <v>95780</v>
      </c>
      <c r="E47" s="218">
        <v>33608</v>
      </c>
      <c r="F47" s="224">
        <v>-5.025384737426622E-2</v>
      </c>
      <c r="G47" s="225">
        <v>-6.7700459103707505E-2</v>
      </c>
      <c r="H47" s="12"/>
      <c r="I47" s="141"/>
      <c r="J47" s="141"/>
    </row>
    <row r="48" spans="1:10" ht="12.75" customHeight="1" x14ac:dyDescent="0.25">
      <c r="A48" s="128" t="s">
        <v>32</v>
      </c>
      <c r="B48" s="218">
        <v>15457</v>
      </c>
      <c r="C48" s="218">
        <v>10126.75</v>
      </c>
      <c r="D48" s="219">
        <v>16159</v>
      </c>
      <c r="E48" s="218">
        <v>10821</v>
      </c>
      <c r="F48" s="224">
        <v>4.5416316232127836E-2</v>
      </c>
      <c r="G48" s="225">
        <v>6.8556052040388088E-2</v>
      </c>
      <c r="H48" s="12"/>
      <c r="I48" s="141"/>
      <c r="J48" s="141"/>
    </row>
    <row r="49" spans="1:10" ht="12.75" customHeight="1" x14ac:dyDescent="0.25">
      <c r="A49" s="128" t="s">
        <v>28</v>
      </c>
      <c r="B49" s="218">
        <v>320771</v>
      </c>
      <c r="C49" s="218">
        <v>211937</v>
      </c>
      <c r="D49" s="219">
        <v>323810</v>
      </c>
      <c r="E49" s="218">
        <v>207943</v>
      </c>
      <c r="F49" s="224">
        <v>9.4740484644808918E-3</v>
      </c>
      <c r="G49" s="225">
        <v>-1.8845222872834851E-2</v>
      </c>
      <c r="H49" s="12"/>
      <c r="I49" s="141"/>
      <c r="J49" s="141"/>
    </row>
    <row r="50" spans="1:10" ht="12.75" customHeight="1" x14ac:dyDescent="0.25">
      <c r="A50" s="128" t="s">
        <v>56</v>
      </c>
      <c r="B50" s="218">
        <v>17358</v>
      </c>
      <c r="C50" s="218">
        <v>8777.6319444444453</v>
      </c>
      <c r="D50" s="219">
        <v>16628</v>
      </c>
      <c r="E50" s="218">
        <v>8375</v>
      </c>
      <c r="F50" s="224">
        <v>-4.2055536352114301E-2</v>
      </c>
      <c r="G50" s="225">
        <v>-4.5870224109736089E-2</v>
      </c>
      <c r="H50" s="12"/>
      <c r="I50" s="141"/>
      <c r="J50" s="141"/>
    </row>
    <row r="51" spans="1:10" ht="12.75" customHeight="1" x14ac:dyDescent="0.25">
      <c r="A51" s="129" t="s">
        <v>68</v>
      </c>
      <c r="B51" s="218">
        <v>14198</v>
      </c>
      <c r="C51" s="218">
        <v>9661</v>
      </c>
      <c r="D51" s="221">
        <v>15013</v>
      </c>
      <c r="E51" s="222">
        <v>10525</v>
      </c>
      <c r="F51" s="226">
        <v>5.7402451049443581E-2</v>
      </c>
      <c r="G51" s="227">
        <v>8.9431735845150601E-2</v>
      </c>
      <c r="H51" s="12"/>
      <c r="I51" s="245"/>
      <c r="J51" s="245"/>
    </row>
    <row r="52" spans="1:10" ht="12.75" customHeight="1" x14ac:dyDescent="0.25">
      <c r="A52" s="129"/>
      <c r="B52" s="223">
        <v>925565</v>
      </c>
      <c r="C52" s="223">
        <v>550815.8819444445</v>
      </c>
      <c r="D52" s="221">
        <v>916372</v>
      </c>
      <c r="E52" s="222">
        <v>543604</v>
      </c>
      <c r="F52" s="228">
        <v>-9.9323116150675794E-3</v>
      </c>
      <c r="G52" s="228">
        <v>-1.3093090052134548E-2</v>
      </c>
      <c r="I52" s="168"/>
      <c r="J52" s="168"/>
    </row>
    <row r="55" spans="1:10" ht="12.75" customHeight="1" x14ac:dyDescent="0.25">
      <c r="B55" s="12"/>
      <c r="C55" s="12"/>
    </row>
    <row r="60" spans="1:10" ht="12.75" customHeight="1" x14ac:dyDescent="0.35">
      <c r="A60" s="49" t="s">
        <v>33</v>
      </c>
      <c r="B60" s="324">
        <v>2018</v>
      </c>
      <c r="C60" s="325"/>
      <c r="D60" s="324">
        <v>2019</v>
      </c>
      <c r="E60" s="325"/>
      <c r="F60" s="324" t="s">
        <v>34</v>
      </c>
      <c r="G60" s="325"/>
    </row>
    <row r="61" spans="1:10" ht="12.75" customHeight="1" x14ac:dyDescent="0.35">
      <c r="A61" s="7"/>
      <c r="B61" s="49" t="s">
        <v>103</v>
      </c>
      <c r="C61" s="50" t="s">
        <v>110</v>
      </c>
      <c r="D61" s="49" t="s">
        <v>129</v>
      </c>
      <c r="E61" s="50" t="s">
        <v>194</v>
      </c>
      <c r="F61" s="49" t="s">
        <v>1</v>
      </c>
      <c r="G61" s="51" t="s">
        <v>9</v>
      </c>
      <c r="I61" s="18"/>
      <c r="J61" s="18"/>
    </row>
    <row r="62" spans="1:10" ht="12.75" customHeight="1" x14ac:dyDescent="0.25">
      <c r="A62" s="128" t="s">
        <v>195</v>
      </c>
      <c r="B62" s="415">
        <v>6430</v>
      </c>
      <c r="C62" s="415">
        <v>3999</v>
      </c>
      <c r="D62" s="415">
        <v>4397</v>
      </c>
      <c r="E62" s="415">
        <v>2645</v>
      </c>
      <c r="F62" s="416">
        <v>-0.3161741835147745</v>
      </c>
      <c r="G62" s="225">
        <v>-0.33858464616154038</v>
      </c>
      <c r="H62" s="12"/>
      <c r="I62" s="141"/>
      <c r="J62" s="141"/>
    </row>
    <row r="63" spans="1:10" ht="12.75" customHeight="1" x14ac:dyDescent="0.25">
      <c r="A63" s="128" t="s">
        <v>65</v>
      </c>
      <c r="B63" s="415">
        <v>8833</v>
      </c>
      <c r="C63" s="415">
        <v>6058</v>
      </c>
      <c r="D63" s="415">
        <v>8319</v>
      </c>
      <c r="E63" s="415">
        <v>5585</v>
      </c>
      <c r="F63" s="416">
        <v>-5.8190875127363297E-2</v>
      </c>
      <c r="G63" s="225">
        <v>-7.8078573786728292E-2</v>
      </c>
      <c r="H63" s="12"/>
      <c r="I63" s="141"/>
      <c r="J63" s="141"/>
    </row>
    <row r="64" spans="1:10" ht="12.75" customHeight="1" x14ac:dyDescent="0.3">
      <c r="A64" s="128" t="s">
        <v>196</v>
      </c>
      <c r="B64" s="417" t="s">
        <v>197</v>
      </c>
      <c r="C64" s="418"/>
      <c r="D64" s="415">
        <v>1599</v>
      </c>
      <c r="E64" s="415">
        <v>1076</v>
      </c>
      <c r="F64" s="416"/>
      <c r="G64" s="225"/>
      <c r="H64" s="12"/>
      <c r="I64" s="141"/>
      <c r="J64" s="141"/>
    </row>
    <row r="65" spans="1:10" ht="12.75" customHeight="1" x14ac:dyDescent="0.25">
      <c r="A65" s="128" t="s">
        <v>62</v>
      </c>
      <c r="B65" s="415">
        <v>59958</v>
      </c>
      <c r="C65" s="415">
        <v>29334</v>
      </c>
      <c r="D65" s="419">
        <v>59300</v>
      </c>
      <c r="E65" s="415">
        <v>29919</v>
      </c>
      <c r="F65" s="416">
        <v>-1.0974348710764201E-2</v>
      </c>
      <c r="G65" s="225">
        <v>1.9942728574350584E-2</v>
      </c>
      <c r="H65" s="12"/>
      <c r="I65" s="141"/>
      <c r="J65" s="141"/>
    </row>
    <row r="66" spans="1:10" ht="12.75" customHeight="1" x14ac:dyDescent="0.25">
      <c r="A66" s="128" t="s">
        <v>66</v>
      </c>
      <c r="B66" s="415">
        <v>52424</v>
      </c>
      <c r="C66" s="415">
        <v>36374</v>
      </c>
      <c r="D66" s="415">
        <v>55999</v>
      </c>
      <c r="E66" s="415">
        <v>38601</v>
      </c>
      <c r="F66" s="416">
        <v>6.8193956966274991E-2</v>
      </c>
      <c r="G66" s="225">
        <v>6.1225050860504754E-2</v>
      </c>
      <c r="H66" s="12"/>
      <c r="I66" s="141"/>
      <c r="J66" s="141"/>
    </row>
    <row r="67" spans="1:10" ht="12.75" customHeight="1" x14ac:dyDescent="0.25">
      <c r="A67" s="128" t="s">
        <v>63</v>
      </c>
      <c r="B67" s="415">
        <v>9931</v>
      </c>
      <c r="C67" s="415">
        <v>5573</v>
      </c>
      <c r="D67" s="415">
        <v>9164</v>
      </c>
      <c r="E67" s="415">
        <v>5505</v>
      </c>
      <c r="F67" s="416">
        <v>-7.7232907058705058E-2</v>
      </c>
      <c r="G67" s="225">
        <v>-1.2201686703750225E-2</v>
      </c>
      <c r="H67" s="12"/>
      <c r="I67" s="141"/>
      <c r="J67" s="141"/>
    </row>
    <row r="68" spans="1:10" ht="12.75" customHeight="1" x14ac:dyDescent="0.25">
      <c r="A68" s="128" t="s">
        <v>27</v>
      </c>
      <c r="B68" s="415">
        <v>172045</v>
      </c>
      <c r="C68" s="415">
        <v>109805</v>
      </c>
      <c r="D68" s="415">
        <v>176339</v>
      </c>
      <c r="E68" s="415">
        <v>112010</v>
      </c>
      <c r="F68" s="416">
        <v>2.4958586416344561E-2</v>
      </c>
      <c r="G68" s="225">
        <v>2.0081052775374527E-2</v>
      </c>
      <c r="H68" s="12"/>
      <c r="I68" s="141"/>
      <c r="J68" s="141"/>
    </row>
    <row r="69" spans="1:10" ht="12.75" customHeight="1" x14ac:dyDescent="0.25">
      <c r="A69" s="128" t="s">
        <v>30</v>
      </c>
      <c r="B69" s="415">
        <v>85620</v>
      </c>
      <c r="C69" s="415">
        <v>47173</v>
      </c>
      <c r="D69" s="415">
        <v>79275</v>
      </c>
      <c r="E69" s="415">
        <v>44707</v>
      </c>
      <c r="F69" s="416">
        <v>-7.4106517168885777E-2</v>
      </c>
      <c r="G69" s="225">
        <v>-5.2275666164967247E-2</v>
      </c>
      <c r="H69" s="12"/>
      <c r="I69" s="141"/>
      <c r="J69" s="141"/>
    </row>
    <row r="70" spans="1:10" ht="12.75" customHeight="1" x14ac:dyDescent="0.25">
      <c r="A70" s="128" t="s">
        <v>64</v>
      </c>
      <c r="B70" s="415">
        <v>23054</v>
      </c>
      <c r="C70" s="415">
        <v>14729</v>
      </c>
      <c r="D70" s="415">
        <v>23222</v>
      </c>
      <c r="E70" s="415">
        <v>14157</v>
      </c>
      <c r="F70" s="416">
        <v>7.2872386570660185E-3</v>
      </c>
      <c r="G70" s="225">
        <v>-3.8834951456310676E-2</v>
      </c>
      <c r="H70" s="12"/>
      <c r="I70" s="141"/>
      <c r="J70" s="141"/>
    </row>
    <row r="71" spans="1:10" ht="12.75" customHeight="1" x14ac:dyDescent="0.25">
      <c r="A71" s="128" t="s">
        <v>67</v>
      </c>
      <c r="B71" s="415">
        <v>30687</v>
      </c>
      <c r="C71" s="415">
        <v>19287</v>
      </c>
      <c r="D71" s="415">
        <v>30146</v>
      </c>
      <c r="E71" s="415">
        <v>18174</v>
      </c>
      <c r="F71" s="416">
        <v>-1.7629615146478966E-2</v>
      </c>
      <c r="G71" s="225">
        <v>-5.770726396018043E-2</v>
      </c>
      <c r="H71" s="12"/>
      <c r="I71" s="141"/>
      <c r="J71" s="141"/>
    </row>
    <row r="72" spans="1:10" ht="12.75" customHeight="1" x14ac:dyDescent="0.25">
      <c r="A72" s="128" t="s">
        <v>29</v>
      </c>
      <c r="B72" s="415">
        <v>95780</v>
      </c>
      <c r="C72" s="415">
        <v>33608</v>
      </c>
      <c r="D72" s="415">
        <v>90393</v>
      </c>
      <c r="E72" s="415">
        <v>34739</v>
      </c>
      <c r="F72" s="416">
        <v>-5.6243474629358949E-2</v>
      </c>
      <c r="G72" s="225">
        <v>3.3652701737681506E-2</v>
      </c>
      <c r="H72" s="12"/>
      <c r="I72" s="141"/>
      <c r="J72" s="141"/>
    </row>
    <row r="73" spans="1:10" ht="12.75" customHeight="1" x14ac:dyDescent="0.25">
      <c r="A73" s="128" t="s">
        <v>32</v>
      </c>
      <c r="B73" s="415">
        <v>16159</v>
      </c>
      <c r="C73" s="415">
        <v>10821</v>
      </c>
      <c r="D73" s="415">
        <v>17068</v>
      </c>
      <c r="E73" s="415">
        <v>10919</v>
      </c>
      <c r="F73" s="416">
        <v>5.6253481032242092E-2</v>
      </c>
      <c r="G73" s="225">
        <v>9.0564642824138251E-3</v>
      </c>
      <c r="H73" s="12"/>
      <c r="I73" s="141"/>
      <c r="J73" s="141"/>
    </row>
    <row r="74" spans="1:10" ht="12.75" customHeight="1" x14ac:dyDescent="0.25">
      <c r="A74" s="128" t="s">
        <v>28</v>
      </c>
      <c r="B74" s="415">
        <v>323810</v>
      </c>
      <c r="C74" s="415">
        <v>207943</v>
      </c>
      <c r="D74" s="419" t="s">
        <v>198</v>
      </c>
      <c r="E74" s="415">
        <v>193472</v>
      </c>
      <c r="F74" s="416"/>
      <c r="G74" s="225">
        <v>-6.9591186046176118E-2</v>
      </c>
      <c r="H74" s="12"/>
      <c r="I74" s="141"/>
      <c r="J74" s="141"/>
    </row>
    <row r="75" spans="1:10" ht="12.75" customHeight="1" x14ac:dyDescent="0.25">
      <c r="A75" s="128" t="s">
        <v>56</v>
      </c>
      <c r="B75" s="415">
        <v>16628</v>
      </c>
      <c r="C75" s="415">
        <v>8375</v>
      </c>
      <c r="D75" s="415">
        <v>16490</v>
      </c>
      <c r="E75" s="415">
        <v>8767</v>
      </c>
      <c r="F75" s="416">
        <v>-8.2992542699061832E-3</v>
      </c>
      <c r="G75" s="225">
        <v>4.680597014925373E-2</v>
      </c>
      <c r="H75" s="12"/>
      <c r="I75" s="245"/>
      <c r="J75" s="245"/>
    </row>
    <row r="76" spans="1:10" ht="12.75" customHeight="1" x14ac:dyDescent="0.25">
      <c r="A76" s="129" t="s">
        <v>68</v>
      </c>
      <c r="B76" s="415">
        <v>15013</v>
      </c>
      <c r="C76" s="415">
        <v>10525</v>
      </c>
      <c r="D76" s="222">
        <v>16292</v>
      </c>
      <c r="E76" s="222">
        <v>11321</v>
      </c>
      <c r="F76" s="226">
        <v>8.5192832878172253E-2</v>
      </c>
      <c r="G76" s="227">
        <v>7.5629453681710215E-2</v>
      </c>
      <c r="I76" s="168"/>
      <c r="J76" s="168"/>
    </row>
    <row r="77" spans="1:10" ht="12.75" customHeight="1" x14ac:dyDescent="0.25">
      <c r="A77" s="129"/>
      <c r="B77" s="223">
        <f>SUM(B62:B76)</f>
        <v>916372</v>
      </c>
      <c r="C77" s="223">
        <f>SUM(C62:C76)</f>
        <v>543604</v>
      </c>
      <c r="D77" s="222">
        <f>SUM(D62:D76)</f>
        <v>588003</v>
      </c>
      <c r="E77" s="222">
        <f>SUM(E62:E76)</f>
        <v>531597</v>
      </c>
      <c r="F77" s="420">
        <v>-0.35833591598171899</v>
      </c>
      <c r="G77" s="420">
        <v>-2.2087769773585175E-2</v>
      </c>
    </row>
    <row r="79" spans="1:10" ht="12.75" customHeight="1" x14ac:dyDescent="0.25">
      <c r="A79" s="3" t="s">
        <v>199</v>
      </c>
    </row>
  </sheetData>
  <mergeCells count="10">
    <mergeCell ref="B60:C60"/>
    <mergeCell ref="D60:E60"/>
    <mergeCell ref="F60:G60"/>
    <mergeCell ref="A23:L30"/>
    <mergeCell ref="B5:C5"/>
    <mergeCell ref="D5:E5"/>
    <mergeCell ref="F5:G5"/>
    <mergeCell ref="B36:C36"/>
    <mergeCell ref="D36:E36"/>
    <mergeCell ref="F36:G36"/>
  </mergeCells>
  <phoneticPr fontId="4" type="noConversion"/>
  <printOptions headings="1" gridLines="1" gridLinesSet="0"/>
  <pageMargins left="0" right="0" top="0" bottom="0" header="0.31496062992125984" footer="0.31496062992125984"/>
  <pageSetup paperSize="9" scale="10"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containsText" priority="6" operator="containsText" id="{C4B39097-9893-4E2F-933C-B3109AFFCEC4}">
            <xm:f>NOT(ISERROR(SEARCH("-",F7)))</xm:f>
            <xm:f>"-"</xm:f>
            <x14:dxf>
              <font>
                <color rgb="FF9C0006"/>
              </font>
            </x14:dxf>
          </x14:cfRule>
          <xm:sqref>F7:G21</xm:sqref>
        </x14:conditionalFormatting>
        <x14:conditionalFormatting xmlns:xm="http://schemas.microsoft.com/office/excel/2006/main">
          <x14:cfRule type="containsText" priority="5" operator="containsText" id="{B4B95CE6-D1BE-4C18-BB1C-83CE3E3D6816}">
            <xm:f>NOT(ISERROR(SEARCH("-",I7)))</xm:f>
            <xm:f>"-"</xm:f>
            <x14:dxf>
              <font>
                <color rgb="FF9C0006"/>
              </font>
            </x14:dxf>
          </x14:cfRule>
          <xm:sqref>I7:J20</xm:sqref>
        </x14:conditionalFormatting>
        <x14:conditionalFormatting xmlns:xm="http://schemas.microsoft.com/office/excel/2006/main">
          <x14:cfRule type="containsText" priority="4" operator="containsText" id="{BFEAF948-8479-480F-80AD-32124CEF178B}">
            <xm:f>NOT(ISERROR(SEARCH("-",F38)))</xm:f>
            <xm:f>"-"</xm:f>
            <x14:dxf>
              <font>
                <color rgb="FF9C0006"/>
              </font>
            </x14:dxf>
          </x14:cfRule>
          <xm:sqref>F38:G52</xm:sqref>
        </x14:conditionalFormatting>
        <x14:conditionalFormatting xmlns:xm="http://schemas.microsoft.com/office/excel/2006/main">
          <x14:cfRule type="containsText" priority="3" operator="containsText" id="{5081ECDC-5607-4B16-BA8A-C7EBC8016086}">
            <xm:f>NOT(ISERROR(SEARCH("-",I38)))</xm:f>
            <xm:f>"-"</xm:f>
            <x14:dxf>
              <font>
                <color rgb="FF9C0006"/>
              </font>
            </x14:dxf>
          </x14:cfRule>
          <xm:sqref>I38:J51</xm:sqref>
        </x14:conditionalFormatting>
        <x14:conditionalFormatting xmlns:xm="http://schemas.microsoft.com/office/excel/2006/main">
          <x14:cfRule type="containsText" priority="2" operator="containsText" id="{6E9C8ACD-15D2-48EE-88EA-2B15904507EB}">
            <xm:f>NOT(ISERROR(SEARCH("-",F62)))</xm:f>
            <xm:f>"-"</xm:f>
            <x14:dxf>
              <font>
                <color rgb="FF9C0006"/>
              </font>
            </x14:dxf>
          </x14:cfRule>
          <xm:sqref>F62:G77</xm:sqref>
        </x14:conditionalFormatting>
        <x14:conditionalFormatting xmlns:xm="http://schemas.microsoft.com/office/excel/2006/main">
          <x14:cfRule type="containsText" priority="1" operator="containsText" id="{73CB56A0-9B77-4ED7-BBA9-EAB5AB0ED808}">
            <xm:f>NOT(ISERROR(SEARCH("-",I62)))</xm:f>
            <xm:f>"-"</xm:f>
            <x14:dxf>
              <font>
                <color rgb="FF9C0006"/>
              </font>
            </x14:dxf>
          </x14:cfRule>
          <xm:sqref>I62:J75</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4:N61"/>
  <sheetViews>
    <sheetView topLeftCell="A13" workbookViewId="0">
      <selection activeCell="H62" sqref="H62"/>
    </sheetView>
  </sheetViews>
  <sheetFormatPr defaultRowHeight="12.75" customHeight="1" x14ac:dyDescent="0.25"/>
  <cols>
    <col min="1" max="1" width="23.90625" customWidth="1"/>
    <col min="2" max="2" width="13.6328125" customWidth="1"/>
    <col min="3" max="3" width="11.54296875" customWidth="1"/>
    <col min="4" max="4" width="10.453125" customWidth="1"/>
    <col min="5" max="5" width="11.453125" customWidth="1"/>
    <col min="6" max="6" width="13.453125" customWidth="1"/>
    <col min="7" max="7" width="10.7265625" customWidth="1"/>
    <col min="8" max="8" width="11.453125" customWidth="1"/>
    <col min="9" max="9" width="10.453125" customWidth="1"/>
    <col min="10" max="10" width="11" customWidth="1"/>
    <col min="11" max="12" width="14.453125" customWidth="1"/>
  </cols>
  <sheetData>
    <row r="4" spans="1:14" ht="12.75" customHeight="1" x14ac:dyDescent="0.3">
      <c r="A4" s="2" t="s">
        <v>26</v>
      </c>
      <c r="B4" s="2" t="s">
        <v>2</v>
      </c>
      <c r="C4" s="2" t="s">
        <v>3</v>
      </c>
      <c r="D4" s="2" t="s">
        <v>4</v>
      </c>
      <c r="E4" s="26" t="s">
        <v>5</v>
      </c>
      <c r="F4" s="26" t="s">
        <v>51</v>
      </c>
      <c r="G4" s="26" t="s">
        <v>46</v>
      </c>
      <c r="H4" s="26" t="s">
        <v>48</v>
      </c>
      <c r="I4" s="2" t="s">
        <v>47</v>
      </c>
      <c r="J4" s="2" t="s">
        <v>6</v>
      </c>
      <c r="K4" s="33" t="s">
        <v>36</v>
      </c>
    </row>
    <row r="5" spans="1:14" ht="12.75" customHeight="1" x14ac:dyDescent="0.3">
      <c r="A5" s="128" t="s">
        <v>35</v>
      </c>
      <c r="B5" s="229">
        <v>1839</v>
      </c>
      <c r="C5" s="229">
        <v>206</v>
      </c>
      <c r="D5" s="229" t="s">
        <v>81</v>
      </c>
      <c r="E5" s="229">
        <v>142</v>
      </c>
      <c r="F5" s="230">
        <v>1</v>
      </c>
      <c r="G5" s="230">
        <v>13</v>
      </c>
      <c r="H5" s="230">
        <v>224</v>
      </c>
      <c r="I5" s="230">
        <v>47</v>
      </c>
      <c r="J5" s="229">
        <v>83</v>
      </c>
      <c r="K5" s="232">
        <v>15</v>
      </c>
      <c r="L5" s="12"/>
      <c r="M5" s="12"/>
      <c r="N5" s="12"/>
    </row>
    <row r="6" spans="1:14" ht="12.75" customHeight="1" x14ac:dyDescent="0.3">
      <c r="A6" s="128" t="s">
        <v>65</v>
      </c>
      <c r="B6" s="229">
        <v>5266</v>
      </c>
      <c r="C6" s="229">
        <v>153</v>
      </c>
      <c r="D6" s="229">
        <v>2</v>
      </c>
      <c r="E6" s="229">
        <v>267</v>
      </c>
      <c r="F6" s="230" t="s">
        <v>81</v>
      </c>
      <c r="G6" s="230" t="s">
        <v>81</v>
      </c>
      <c r="H6" s="230" t="s">
        <v>81</v>
      </c>
      <c r="I6" s="230" t="s">
        <v>81</v>
      </c>
      <c r="J6" s="229">
        <v>851</v>
      </c>
      <c r="K6" s="232">
        <v>0</v>
      </c>
      <c r="L6" s="12"/>
      <c r="M6" s="12"/>
      <c r="N6" s="12"/>
    </row>
    <row r="7" spans="1:14" ht="12.75" customHeight="1" x14ac:dyDescent="0.3">
      <c r="A7" s="128" t="s">
        <v>69</v>
      </c>
      <c r="B7" s="229">
        <v>22953</v>
      </c>
      <c r="C7" s="229">
        <v>2463</v>
      </c>
      <c r="D7" s="229">
        <v>176</v>
      </c>
      <c r="E7" s="229" t="s">
        <v>81</v>
      </c>
      <c r="F7" s="230">
        <v>125</v>
      </c>
      <c r="G7" s="230">
        <v>695</v>
      </c>
      <c r="H7" s="230">
        <v>2723</v>
      </c>
      <c r="I7" s="230">
        <v>797</v>
      </c>
      <c r="J7" s="229">
        <v>1047</v>
      </c>
      <c r="K7" s="232">
        <v>64</v>
      </c>
      <c r="L7" s="12"/>
      <c r="M7" s="12"/>
      <c r="N7" s="12"/>
    </row>
    <row r="8" spans="1:14" ht="12.75" customHeight="1" x14ac:dyDescent="0.3">
      <c r="A8" s="128" t="s">
        <v>70</v>
      </c>
      <c r="B8" s="229">
        <v>33174</v>
      </c>
      <c r="C8" s="229">
        <v>1732</v>
      </c>
      <c r="D8" s="229">
        <v>9</v>
      </c>
      <c r="E8" s="229">
        <v>979</v>
      </c>
      <c r="F8" s="230" t="s">
        <v>81</v>
      </c>
      <c r="G8" s="230" t="s">
        <v>81</v>
      </c>
      <c r="H8" s="230" t="s">
        <v>81</v>
      </c>
      <c r="I8" s="230" t="s">
        <v>81</v>
      </c>
      <c r="J8" s="229">
        <v>2549</v>
      </c>
      <c r="K8" s="232">
        <v>0</v>
      </c>
      <c r="L8" s="12"/>
      <c r="M8" s="12"/>
      <c r="N8" s="12"/>
    </row>
    <row r="9" spans="1:14" ht="12.75" customHeight="1" x14ac:dyDescent="0.3">
      <c r="A9" s="128" t="s">
        <v>71</v>
      </c>
      <c r="B9" s="229">
        <v>4960</v>
      </c>
      <c r="C9" s="229">
        <v>227</v>
      </c>
      <c r="D9" s="229">
        <v>3</v>
      </c>
      <c r="E9" s="229">
        <v>108</v>
      </c>
      <c r="F9" s="230">
        <v>0</v>
      </c>
      <c r="G9" s="230">
        <v>5</v>
      </c>
      <c r="H9" s="230">
        <v>104</v>
      </c>
      <c r="I9" s="230">
        <v>35</v>
      </c>
      <c r="J9" s="229">
        <v>94</v>
      </c>
      <c r="K9" s="232">
        <v>8</v>
      </c>
      <c r="L9" s="12"/>
      <c r="M9" s="12"/>
      <c r="N9" s="12"/>
    </row>
    <row r="10" spans="1:14" ht="12.75" customHeight="1" x14ac:dyDescent="0.3">
      <c r="A10" s="128" t="s">
        <v>27</v>
      </c>
      <c r="B10" s="229">
        <v>94514</v>
      </c>
      <c r="C10" s="229">
        <v>5174</v>
      </c>
      <c r="D10" s="229">
        <v>47</v>
      </c>
      <c r="E10" s="229">
        <v>364</v>
      </c>
      <c r="F10" s="230">
        <v>30</v>
      </c>
      <c r="G10" s="230">
        <v>137</v>
      </c>
      <c r="H10" s="230">
        <v>1347</v>
      </c>
      <c r="I10" s="230">
        <v>271</v>
      </c>
      <c r="J10" s="229">
        <v>4436</v>
      </c>
      <c r="K10" s="232">
        <v>208</v>
      </c>
      <c r="L10" s="12"/>
      <c r="M10" s="12"/>
      <c r="N10" s="12"/>
    </row>
    <row r="11" spans="1:14" ht="12.75" customHeight="1" x14ac:dyDescent="0.3">
      <c r="A11" s="128" t="s">
        <v>30</v>
      </c>
      <c r="B11" s="229">
        <v>37870</v>
      </c>
      <c r="C11" s="229">
        <v>2422</v>
      </c>
      <c r="D11" s="229">
        <v>142</v>
      </c>
      <c r="E11" s="229">
        <v>313</v>
      </c>
      <c r="F11" s="230">
        <v>129</v>
      </c>
      <c r="G11" s="230">
        <v>689</v>
      </c>
      <c r="H11" s="230">
        <v>3722</v>
      </c>
      <c r="I11" s="230">
        <v>955</v>
      </c>
      <c r="J11" s="229">
        <v>2317</v>
      </c>
      <c r="K11" s="232">
        <v>30</v>
      </c>
      <c r="L11" s="12"/>
      <c r="M11" s="12"/>
      <c r="N11" s="12"/>
    </row>
    <row r="12" spans="1:14" ht="12.75" customHeight="1" x14ac:dyDescent="0.3">
      <c r="A12" s="128" t="s">
        <v>64</v>
      </c>
      <c r="B12" s="229">
        <v>12264</v>
      </c>
      <c r="C12" s="229">
        <v>592</v>
      </c>
      <c r="D12" s="229">
        <v>4</v>
      </c>
      <c r="E12" s="229">
        <v>272</v>
      </c>
      <c r="F12" s="230" t="s">
        <v>81</v>
      </c>
      <c r="G12" s="230" t="s">
        <v>81</v>
      </c>
      <c r="H12" s="230" t="s">
        <v>81</v>
      </c>
      <c r="I12" s="230" t="s">
        <v>81</v>
      </c>
      <c r="J12" s="229">
        <v>1348</v>
      </c>
      <c r="K12" s="232">
        <v>3</v>
      </c>
      <c r="L12" s="12"/>
      <c r="M12" s="12"/>
      <c r="N12" s="12"/>
    </row>
    <row r="13" spans="1:14" ht="12.75" customHeight="1" x14ac:dyDescent="0.3">
      <c r="A13" s="128" t="s">
        <v>67</v>
      </c>
      <c r="B13" s="229">
        <v>16290</v>
      </c>
      <c r="C13" s="229">
        <v>969</v>
      </c>
      <c r="D13" s="229">
        <v>28</v>
      </c>
      <c r="E13" s="229">
        <v>324</v>
      </c>
      <c r="F13" s="230" t="s">
        <v>81</v>
      </c>
      <c r="G13" s="230" t="s">
        <v>81</v>
      </c>
      <c r="H13" s="230" t="s">
        <v>81</v>
      </c>
      <c r="I13" s="230" t="s">
        <v>81</v>
      </c>
      <c r="J13" s="229">
        <v>1521</v>
      </c>
      <c r="K13" s="232">
        <v>0</v>
      </c>
      <c r="L13" s="12"/>
      <c r="M13" s="12"/>
      <c r="N13" s="12"/>
    </row>
    <row r="14" spans="1:14" ht="12.75" customHeight="1" x14ac:dyDescent="0.3">
      <c r="A14" s="128" t="s">
        <v>29</v>
      </c>
      <c r="B14" s="229">
        <v>27718</v>
      </c>
      <c r="C14" s="229">
        <v>1965</v>
      </c>
      <c r="D14" s="229">
        <v>101</v>
      </c>
      <c r="E14" s="229">
        <v>405.5</v>
      </c>
      <c r="F14" s="230">
        <v>106</v>
      </c>
      <c r="G14" s="230">
        <v>503</v>
      </c>
      <c r="H14" s="230">
        <v>3708</v>
      </c>
      <c r="I14" s="230">
        <v>581</v>
      </c>
      <c r="J14" s="229">
        <v>961</v>
      </c>
      <c r="K14" s="232">
        <v>42</v>
      </c>
      <c r="L14" s="12"/>
      <c r="M14" s="12"/>
      <c r="N14" s="12"/>
    </row>
    <row r="15" spans="1:14" ht="12.75" customHeight="1" x14ac:dyDescent="0.3">
      <c r="A15" s="128" t="s">
        <v>32</v>
      </c>
      <c r="B15" s="229">
        <v>7058</v>
      </c>
      <c r="C15" s="229">
        <v>931</v>
      </c>
      <c r="D15" s="229">
        <v>2</v>
      </c>
      <c r="E15" s="229">
        <v>110</v>
      </c>
      <c r="F15" s="230">
        <v>20</v>
      </c>
      <c r="G15" s="230">
        <v>88</v>
      </c>
      <c r="H15" s="230">
        <v>1098</v>
      </c>
      <c r="I15" s="230">
        <v>109.75</v>
      </c>
      <c r="J15" s="229">
        <v>710</v>
      </c>
      <c r="K15" s="232">
        <v>0</v>
      </c>
      <c r="L15" s="12"/>
      <c r="M15" s="12"/>
      <c r="N15" s="12"/>
    </row>
    <row r="16" spans="1:14" ht="12.75" customHeight="1" x14ac:dyDescent="0.3">
      <c r="A16" s="128" t="s">
        <v>28</v>
      </c>
      <c r="B16" s="229">
        <v>192171</v>
      </c>
      <c r="C16" s="229">
        <v>9565</v>
      </c>
      <c r="D16" s="229">
        <v>3459</v>
      </c>
      <c r="E16" s="229">
        <v>700</v>
      </c>
      <c r="F16" s="230" t="s">
        <v>81</v>
      </c>
      <c r="G16" s="230" t="s">
        <v>81</v>
      </c>
      <c r="H16" s="230" t="s">
        <v>81</v>
      </c>
      <c r="I16" s="230" t="s">
        <v>81</v>
      </c>
      <c r="J16" s="229">
        <v>6042</v>
      </c>
      <c r="K16" s="232">
        <v>0</v>
      </c>
      <c r="L16" s="12"/>
      <c r="M16" s="12"/>
      <c r="N16" s="12"/>
    </row>
    <row r="17" spans="1:14" ht="12.75" customHeight="1" x14ac:dyDescent="0.3">
      <c r="A17" s="128" t="s">
        <v>56</v>
      </c>
      <c r="B17" s="229">
        <v>7261</v>
      </c>
      <c r="C17" s="229">
        <v>192</v>
      </c>
      <c r="D17" s="229">
        <v>4</v>
      </c>
      <c r="E17" s="229">
        <v>202</v>
      </c>
      <c r="F17" s="230">
        <v>7</v>
      </c>
      <c r="G17" s="230">
        <v>28</v>
      </c>
      <c r="H17" s="230">
        <v>622.63194444444446</v>
      </c>
      <c r="I17" s="230">
        <v>81</v>
      </c>
      <c r="J17" s="229">
        <v>380</v>
      </c>
      <c r="K17" s="232">
        <v>6</v>
      </c>
      <c r="L17" s="12"/>
      <c r="M17" s="12"/>
      <c r="N17" s="12"/>
    </row>
    <row r="18" spans="1:14" ht="12.75" customHeight="1" x14ac:dyDescent="0.3">
      <c r="A18" s="128" t="s">
        <v>31</v>
      </c>
      <c r="B18" s="229">
        <v>8457</v>
      </c>
      <c r="C18" s="229">
        <v>402</v>
      </c>
      <c r="D18" s="229" t="s">
        <v>81</v>
      </c>
      <c r="E18" s="229">
        <v>640</v>
      </c>
      <c r="F18" s="230" t="s">
        <v>81</v>
      </c>
      <c r="G18" s="230" t="s">
        <v>81</v>
      </c>
      <c r="H18" s="230" t="s">
        <v>81</v>
      </c>
      <c r="I18" s="230" t="s">
        <v>81</v>
      </c>
      <c r="J18" s="229">
        <v>162</v>
      </c>
      <c r="K18" s="232">
        <v>1</v>
      </c>
      <c r="L18" s="12"/>
      <c r="M18" s="12"/>
      <c r="N18" s="12"/>
    </row>
    <row r="19" spans="1:14" ht="12.75" customHeight="1" x14ac:dyDescent="0.3">
      <c r="A19" s="87" t="s">
        <v>24</v>
      </c>
      <c r="B19" s="231">
        <v>471795</v>
      </c>
      <c r="C19" s="231">
        <v>26993</v>
      </c>
      <c r="D19" s="231">
        <v>3977</v>
      </c>
      <c r="E19" s="231">
        <v>4826.5</v>
      </c>
      <c r="F19" s="231">
        <v>418</v>
      </c>
      <c r="G19" s="231">
        <v>2158</v>
      </c>
      <c r="H19" s="231">
        <v>13548.631944444445</v>
      </c>
      <c r="I19" s="231">
        <v>2876.75</v>
      </c>
      <c r="J19" s="231">
        <v>22501</v>
      </c>
      <c r="K19" s="233">
        <v>377</v>
      </c>
      <c r="L19" s="12"/>
      <c r="M19" s="12"/>
    </row>
    <row r="21" spans="1:14" ht="12.75" customHeight="1" x14ac:dyDescent="0.25">
      <c r="L21" s="12"/>
    </row>
    <row r="22" spans="1:14" ht="12.75" customHeight="1" x14ac:dyDescent="0.25">
      <c r="L22" s="12"/>
    </row>
    <row r="23" spans="1:14" ht="12.75" customHeight="1" x14ac:dyDescent="0.3">
      <c r="A23" s="2" t="s">
        <v>26</v>
      </c>
      <c r="B23" s="2" t="s">
        <v>2</v>
      </c>
      <c r="C23" s="2" t="s">
        <v>3</v>
      </c>
      <c r="D23" s="2" t="s">
        <v>4</v>
      </c>
      <c r="E23" s="26" t="s">
        <v>5</v>
      </c>
      <c r="F23" s="26" t="s">
        <v>51</v>
      </c>
      <c r="G23" s="26" t="s">
        <v>46</v>
      </c>
      <c r="H23" s="26" t="s">
        <v>48</v>
      </c>
      <c r="I23" s="2" t="s">
        <v>47</v>
      </c>
      <c r="J23" s="2" t="s">
        <v>115</v>
      </c>
      <c r="K23" s="33" t="s">
        <v>36</v>
      </c>
    </row>
    <row r="24" spans="1:14" ht="12.75" customHeight="1" x14ac:dyDescent="0.3">
      <c r="A24" s="128" t="s">
        <v>35</v>
      </c>
      <c r="B24" s="62">
        <v>2779</v>
      </c>
      <c r="C24" s="62">
        <v>354</v>
      </c>
      <c r="D24" s="62" t="s">
        <v>81</v>
      </c>
      <c r="E24" s="62">
        <v>277</v>
      </c>
      <c r="F24" s="62">
        <v>3</v>
      </c>
      <c r="G24" s="62">
        <v>28</v>
      </c>
      <c r="H24" s="62">
        <v>363</v>
      </c>
      <c r="I24" s="62">
        <v>12</v>
      </c>
      <c r="J24" s="62">
        <v>183</v>
      </c>
      <c r="K24" s="272">
        <v>7</v>
      </c>
    </row>
    <row r="25" spans="1:14" ht="12.75" customHeight="1" x14ac:dyDescent="0.3">
      <c r="A25" s="128" t="s">
        <v>65</v>
      </c>
      <c r="B25" s="62">
        <v>4833</v>
      </c>
      <c r="C25" s="99">
        <v>125</v>
      </c>
      <c r="D25" s="62" t="s">
        <v>81</v>
      </c>
      <c r="E25" s="62">
        <v>322</v>
      </c>
      <c r="F25" s="62" t="s">
        <v>81</v>
      </c>
      <c r="G25" s="62" t="s">
        <v>81</v>
      </c>
      <c r="H25" s="62" t="s">
        <v>81</v>
      </c>
      <c r="I25" s="62" t="s">
        <v>81</v>
      </c>
      <c r="J25" s="62">
        <v>778</v>
      </c>
      <c r="K25" s="272">
        <v>0</v>
      </c>
    </row>
    <row r="26" spans="1:14" ht="12.75" customHeight="1" x14ac:dyDescent="0.3">
      <c r="A26" s="128" t="s">
        <v>69</v>
      </c>
      <c r="B26" s="62">
        <v>21166</v>
      </c>
      <c r="C26" s="62">
        <v>2472</v>
      </c>
      <c r="D26" s="62">
        <v>169</v>
      </c>
      <c r="E26" s="62" t="s">
        <v>81</v>
      </c>
      <c r="F26" s="161">
        <v>85</v>
      </c>
      <c r="G26" s="161">
        <v>744</v>
      </c>
      <c r="H26" s="161">
        <v>3002</v>
      </c>
      <c r="I26" s="161">
        <v>734</v>
      </c>
      <c r="J26" s="62">
        <v>962</v>
      </c>
      <c r="K26" s="162">
        <v>25</v>
      </c>
    </row>
    <row r="27" spans="1:14" ht="12.75" customHeight="1" x14ac:dyDescent="0.3">
      <c r="A27" s="128" t="s">
        <v>70</v>
      </c>
      <c r="B27" s="62">
        <v>31345</v>
      </c>
      <c r="C27" s="62">
        <v>1408</v>
      </c>
      <c r="D27" s="62">
        <v>2</v>
      </c>
      <c r="E27" s="62">
        <v>1171</v>
      </c>
      <c r="F27" s="161" t="s">
        <v>81</v>
      </c>
      <c r="G27" s="161" t="s">
        <v>81</v>
      </c>
      <c r="H27" s="161" t="s">
        <v>81</v>
      </c>
      <c r="I27" s="161" t="s">
        <v>81</v>
      </c>
      <c r="J27" s="62">
        <v>2448</v>
      </c>
      <c r="K27" s="162">
        <v>0</v>
      </c>
      <c r="L27" s="22" t="s">
        <v>116</v>
      </c>
    </row>
    <row r="28" spans="1:14" ht="12.75" customHeight="1" x14ac:dyDescent="0.3">
      <c r="A28" s="128" t="s">
        <v>71</v>
      </c>
      <c r="B28" s="62">
        <v>4988</v>
      </c>
      <c r="C28" s="62">
        <v>166</v>
      </c>
      <c r="D28" s="62" t="s">
        <v>81</v>
      </c>
      <c r="E28" s="62">
        <v>115</v>
      </c>
      <c r="F28" s="161">
        <v>8</v>
      </c>
      <c r="G28" s="161">
        <v>4</v>
      </c>
      <c r="H28" s="161">
        <v>141</v>
      </c>
      <c r="I28" s="161">
        <v>40</v>
      </c>
      <c r="J28" s="62">
        <v>111</v>
      </c>
      <c r="K28" s="162">
        <v>8</v>
      </c>
      <c r="L28" s="22" t="s">
        <v>117</v>
      </c>
    </row>
    <row r="29" spans="1:14" ht="12.75" customHeight="1" x14ac:dyDescent="0.3">
      <c r="A29" s="128" t="s">
        <v>27</v>
      </c>
      <c r="B29" s="62">
        <v>97321</v>
      </c>
      <c r="C29" s="62">
        <v>5116</v>
      </c>
      <c r="D29" s="62">
        <v>41</v>
      </c>
      <c r="E29" s="62">
        <v>314</v>
      </c>
      <c r="F29" s="161">
        <v>21</v>
      </c>
      <c r="G29" s="161">
        <v>124</v>
      </c>
      <c r="H29" s="161">
        <v>1387</v>
      </c>
      <c r="I29" s="161">
        <v>333</v>
      </c>
      <c r="J29" s="62">
        <v>5148</v>
      </c>
      <c r="K29" s="162">
        <v>176</v>
      </c>
    </row>
    <row r="30" spans="1:14" ht="12.75" customHeight="1" x14ac:dyDescent="0.3">
      <c r="A30" s="128" t="s">
        <v>30</v>
      </c>
      <c r="B30" s="62">
        <v>36350</v>
      </c>
      <c r="C30" s="62">
        <v>2350</v>
      </c>
      <c r="D30" s="62">
        <v>124</v>
      </c>
      <c r="E30" s="62">
        <v>441</v>
      </c>
      <c r="F30" s="161">
        <v>58</v>
      </c>
      <c r="G30" s="161">
        <v>607</v>
      </c>
      <c r="H30" s="161">
        <v>4325</v>
      </c>
      <c r="I30" s="161">
        <v>827</v>
      </c>
      <c r="J30" s="62">
        <v>2091</v>
      </c>
      <c r="K30" s="162">
        <v>52</v>
      </c>
    </row>
    <row r="31" spans="1:14" ht="12.75" customHeight="1" x14ac:dyDescent="0.3">
      <c r="A31" s="128" t="s">
        <v>64</v>
      </c>
      <c r="B31" s="62">
        <v>12032</v>
      </c>
      <c r="C31" s="62">
        <v>562</v>
      </c>
      <c r="D31" s="62">
        <v>2</v>
      </c>
      <c r="E31" s="62">
        <v>510</v>
      </c>
      <c r="F31" s="161" t="s">
        <v>81</v>
      </c>
      <c r="G31" s="161" t="s">
        <v>81</v>
      </c>
      <c r="H31" s="161" t="s">
        <v>81</v>
      </c>
      <c r="I31" s="161" t="s">
        <v>81</v>
      </c>
      <c r="J31" s="62">
        <v>1623</v>
      </c>
      <c r="K31" s="162">
        <v>2</v>
      </c>
    </row>
    <row r="32" spans="1:14" ht="12.75" customHeight="1" x14ac:dyDescent="0.3">
      <c r="A32" s="128" t="s">
        <v>67</v>
      </c>
      <c r="B32" s="62">
        <v>15950</v>
      </c>
      <c r="C32" s="62">
        <v>1021</v>
      </c>
      <c r="D32" s="62">
        <v>34</v>
      </c>
      <c r="E32" s="62">
        <v>300</v>
      </c>
      <c r="F32" s="161" t="s">
        <v>81</v>
      </c>
      <c r="G32" s="161" t="s">
        <v>81</v>
      </c>
      <c r="H32" s="161" t="s">
        <v>81</v>
      </c>
      <c r="I32" s="161" t="s">
        <v>81</v>
      </c>
      <c r="J32" s="62">
        <v>1982</v>
      </c>
      <c r="K32" s="162">
        <v>0</v>
      </c>
    </row>
    <row r="33" spans="1:11" ht="12.75" customHeight="1" x14ac:dyDescent="0.3">
      <c r="A33" s="128" t="s">
        <v>29</v>
      </c>
      <c r="B33" s="62">
        <v>26308</v>
      </c>
      <c r="C33" s="62">
        <v>1880</v>
      </c>
      <c r="D33" s="62">
        <v>71</v>
      </c>
      <c r="E33" s="62">
        <v>374</v>
      </c>
      <c r="F33" s="161">
        <v>73</v>
      </c>
      <c r="G33" s="161">
        <v>451</v>
      </c>
      <c r="H33" s="161">
        <v>3608</v>
      </c>
      <c r="I33" s="161">
        <v>408</v>
      </c>
      <c r="J33" s="62">
        <v>435</v>
      </c>
      <c r="K33" s="162">
        <v>54</v>
      </c>
    </row>
    <row r="34" spans="1:11" ht="12.75" customHeight="1" x14ac:dyDescent="0.3">
      <c r="A34" s="128" t="s">
        <v>32</v>
      </c>
      <c r="B34" s="62">
        <v>7391</v>
      </c>
      <c r="C34" s="62">
        <v>1000</v>
      </c>
      <c r="D34" s="62">
        <v>1</v>
      </c>
      <c r="E34" s="62">
        <v>124</v>
      </c>
      <c r="F34" s="161">
        <v>7</v>
      </c>
      <c r="G34" s="161">
        <v>82</v>
      </c>
      <c r="H34" s="161">
        <v>1341</v>
      </c>
      <c r="I34" s="161">
        <v>109</v>
      </c>
      <c r="J34" s="62">
        <v>766</v>
      </c>
      <c r="K34" s="162">
        <v>0</v>
      </c>
    </row>
    <row r="35" spans="1:11" ht="12.75" customHeight="1" x14ac:dyDescent="0.3">
      <c r="A35" s="128" t="s">
        <v>28</v>
      </c>
      <c r="B35" s="62">
        <v>186687</v>
      </c>
      <c r="C35" s="62">
        <v>9997</v>
      </c>
      <c r="D35" s="62">
        <v>3192</v>
      </c>
      <c r="E35" s="62">
        <v>862</v>
      </c>
      <c r="F35" s="161" t="s">
        <v>81</v>
      </c>
      <c r="G35" s="161" t="s">
        <v>81</v>
      </c>
      <c r="H35" s="161" t="s">
        <v>81</v>
      </c>
      <c r="I35" s="161" t="s">
        <v>81</v>
      </c>
      <c r="J35" s="62">
        <v>7205</v>
      </c>
      <c r="K35" s="162">
        <v>0</v>
      </c>
    </row>
    <row r="36" spans="1:11" ht="12.75" customHeight="1" x14ac:dyDescent="0.3">
      <c r="A36" s="128" t="s">
        <v>56</v>
      </c>
      <c r="B36" s="62">
        <v>6767</v>
      </c>
      <c r="C36" s="62">
        <v>220</v>
      </c>
      <c r="D36" s="62">
        <v>4</v>
      </c>
      <c r="E36" s="62">
        <v>203</v>
      </c>
      <c r="F36" s="161" t="s">
        <v>81</v>
      </c>
      <c r="G36" s="161">
        <v>33</v>
      </c>
      <c r="H36" s="161">
        <v>727</v>
      </c>
      <c r="I36" s="161">
        <v>53</v>
      </c>
      <c r="J36" s="62">
        <v>368</v>
      </c>
      <c r="K36" s="162">
        <v>0</v>
      </c>
    </row>
    <row r="37" spans="1:11" ht="12.75" customHeight="1" x14ac:dyDescent="0.3">
      <c r="A37" s="128" t="s">
        <v>31</v>
      </c>
      <c r="B37" s="62">
        <v>9148</v>
      </c>
      <c r="C37" s="62">
        <v>422</v>
      </c>
      <c r="D37" s="62">
        <v>2</v>
      </c>
      <c r="E37" s="62">
        <v>690</v>
      </c>
      <c r="F37" s="161" t="s">
        <v>81</v>
      </c>
      <c r="G37" s="161" t="s">
        <v>81</v>
      </c>
      <c r="H37" s="161" t="s">
        <v>81</v>
      </c>
      <c r="I37" s="161" t="s">
        <v>81</v>
      </c>
      <c r="J37" s="62">
        <v>263</v>
      </c>
      <c r="K37" s="162">
        <v>2</v>
      </c>
    </row>
    <row r="38" spans="1:11" ht="12.75" customHeight="1" x14ac:dyDescent="0.3">
      <c r="A38" s="87" t="s">
        <v>24</v>
      </c>
      <c r="B38" s="24">
        <f t="shared" ref="B38:K38" si="0">SUM(B24:B37)</f>
        <v>463065</v>
      </c>
      <c r="C38" s="24">
        <f t="shared" si="0"/>
        <v>27093</v>
      </c>
      <c r="D38" s="24">
        <f t="shared" si="0"/>
        <v>3642</v>
      </c>
      <c r="E38" s="24">
        <f t="shared" si="0"/>
        <v>5703</v>
      </c>
      <c r="F38" s="24">
        <f t="shared" si="0"/>
        <v>255</v>
      </c>
      <c r="G38" s="24">
        <f t="shared" si="0"/>
        <v>2073</v>
      </c>
      <c r="H38" s="24">
        <f t="shared" si="0"/>
        <v>14894</v>
      </c>
      <c r="I38" s="24">
        <f t="shared" si="0"/>
        <v>2516</v>
      </c>
      <c r="J38" s="24">
        <f t="shared" si="0"/>
        <v>24363</v>
      </c>
      <c r="K38" s="273">
        <f t="shared" si="0"/>
        <v>326</v>
      </c>
    </row>
    <row r="40" spans="1:11" ht="12.75" customHeight="1" x14ac:dyDescent="0.25">
      <c r="B40" s="421" t="s">
        <v>200</v>
      </c>
    </row>
    <row r="42" spans="1:11" ht="12.75" customHeight="1" x14ac:dyDescent="0.3">
      <c r="A42" s="2" t="s">
        <v>26</v>
      </c>
      <c r="B42" s="2" t="s">
        <v>2</v>
      </c>
      <c r="C42" s="2" t="s">
        <v>3</v>
      </c>
      <c r="D42" s="2" t="s">
        <v>4</v>
      </c>
      <c r="E42" s="26" t="s">
        <v>5</v>
      </c>
      <c r="F42" s="26" t="s">
        <v>51</v>
      </c>
      <c r="G42" s="26" t="s">
        <v>46</v>
      </c>
      <c r="H42" s="26" t="s">
        <v>48</v>
      </c>
      <c r="I42" s="2" t="s">
        <v>47</v>
      </c>
      <c r="J42" s="2" t="s">
        <v>115</v>
      </c>
      <c r="K42" s="32" t="s">
        <v>36</v>
      </c>
    </row>
    <row r="43" spans="1:11" ht="12.75" customHeight="1" x14ac:dyDescent="0.3">
      <c r="A43" s="128" t="s">
        <v>35</v>
      </c>
      <c r="B43" s="10">
        <v>1809</v>
      </c>
      <c r="C43" s="10">
        <v>97</v>
      </c>
      <c r="D43" s="10">
        <v>8</v>
      </c>
      <c r="E43" s="10">
        <v>205</v>
      </c>
      <c r="F43" s="10">
        <v>26</v>
      </c>
      <c r="G43" s="10">
        <v>21</v>
      </c>
      <c r="H43" s="10">
        <v>238</v>
      </c>
      <c r="I43" s="10">
        <v>15</v>
      </c>
      <c r="J43" s="10">
        <v>126</v>
      </c>
      <c r="K43" s="422">
        <v>3</v>
      </c>
    </row>
    <row r="44" spans="1:11" ht="12.75" customHeight="1" x14ac:dyDescent="0.3">
      <c r="A44" s="128" t="s">
        <v>65</v>
      </c>
      <c r="B44" s="10">
        <v>4400</v>
      </c>
      <c r="C44" s="99">
        <v>83</v>
      </c>
      <c r="D44" s="10">
        <v>2</v>
      </c>
      <c r="E44" s="10">
        <v>285</v>
      </c>
      <c r="F44" s="10">
        <v>0</v>
      </c>
      <c r="G44" s="10">
        <v>0</v>
      </c>
      <c r="H44" s="10">
        <v>0</v>
      </c>
      <c r="I44" s="10">
        <v>0</v>
      </c>
      <c r="J44" s="10">
        <v>815</v>
      </c>
      <c r="K44" s="162">
        <v>0</v>
      </c>
    </row>
    <row r="45" spans="1:11" ht="12.75" customHeight="1" x14ac:dyDescent="0.3">
      <c r="A45" s="128" t="s">
        <v>201</v>
      </c>
      <c r="B45" s="10">
        <v>845</v>
      </c>
      <c r="C45" s="99">
        <v>135</v>
      </c>
      <c r="D45" s="10">
        <v>3</v>
      </c>
      <c r="E45" s="10">
        <v>31</v>
      </c>
      <c r="F45" s="10">
        <v>0</v>
      </c>
      <c r="G45" s="10">
        <v>8</v>
      </c>
      <c r="H45" s="10">
        <v>7</v>
      </c>
      <c r="I45" s="10">
        <v>6</v>
      </c>
      <c r="J45" s="10">
        <v>41</v>
      </c>
      <c r="K45" s="162">
        <v>0</v>
      </c>
    </row>
    <row r="46" spans="1:11" ht="12.75" customHeight="1" x14ac:dyDescent="0.3">
      <c r="A46" s="128" t="s">
        <v>69</v>
      </c>
      <c r="B46" s="10">
        <v>21989</v>
      </c>
      <c r="C46" s="99">
        <v>2254</v>
      </c>
      <c r="D46" s="10">
        <v>255</v>
      </c>
      <c r="E46" s="10">
        <v>0</v>
      </c>
      <c r="F46" s="10">
        <v>82</v>
      </c>
      <c r="G46" s="10">
        <v>687</v>
      </c>
      <c r="H46" s="10">
        <v>2803</v>
      </c>
      <c r="I46" s="10">
        <v>918</v>
      </c>
      <c r="J46" s="10">
        <v>931</v>
      </c>
      <c r="K46" s="162">
        <v>59</v>
      </c>
    </row>
    <row r="47" spans="1:11" ht="12.75" customHeight="1" x14ac:dyDescent="0.3">
      <c r="A47" s="128" t="s">
        <v>70</v>
      </c>
      <c r="B47" s="10">
        <v>33427</v>
      </c>
      <c r="C47" s="10">
        <v>1281</v>
      </c>
      <c r="D47" s="10">
        <v>165</v>
      </c>
      <c r="E47" s="10">
        <v>842</v>
      </c>
      <c r="F47" s="16">
        <v>0</v>
      </c>
      <c r="G47" s="16">
        <v>0</v>
      </c>
      <c r="H47" s="16">
        <v>0</v>
      </c>
      <c r="I47" s="16">
        <v>0</v>
      </c>
      <c r="J47" s="10">
        <v>2886</v>
      </c>
      <c r="K47" s="162">
        <v>0</v>
      </c>
    </row>
    <row r="48" spans="1:11" ht="12.75" customHeight="1" x14ac:dyDescent="0.3">
      <c r="A48" s="128" t="s">
        <v>71</v>
      </c>
      <c r="B48" s="10">
        <v>4947</v>
      </c>
      <c r="C48" s="10">
        <v>163</v>
      </c>
      <c r="D48" s="10">
        <v>2</v>
      </c>
      <c r="E48" s="10">
        <v>112</v>
      </c>
      <c r="F48" s="16">
        <v>5</v>
      </c>
      <c r="G48" s="16">
        <v>15</v>
      </c>
      <c r="H48" s="16">
        <v>157</v>
      </c>
      <c r="I48" s="16">
        <v>20</v>
      </c>
      <c r="J48" s="10">
        <v>84</v>
      </c>
      <c r="K48" s="162">
        <v>4</v>
      </c>
    </row>
    <row r="49" spans="1:11" ht="12.75" customHeight="1" x14ac:dyDescent="0.3">
      <c r="A49" s="128" t="s">
        <v>27</v>
      </c>
      <c r="B49" s="10">
        <v>99513</v>
      </c>
      <c r="C49" s="10">
        <v>4648</v>
      </c>
      <c r="D49" s="10">
        <v>52</v>
      </c>
      <c r="E49" s="10">
        <v>344</v>
      </c>
      <c r="F49" s="16">
        <v>29</v>
      </c>
      <c r="G49" s="16">
        <v>152</v>
      </c>
      <c r="H49" s="16">
        <v>1517</v>
      </c>
      <c r="I49" s="16">
        <v>375</v>
      </c>
      <c r="J49" s="10">
        <v>5380</v>
      </c>
      <c r="K49" s="162">
        <v>377</v>
      </c>
    </row>
    <row r="50" spans="1:11" ht="12.75" customHeight="1" x14ac:dyDescent="0.3">
      <c r="A50" s="128" t="s">
        <v>30</v>
      </c>
      <c r="B50" s="10">
        <v>34702</v>
      </c>
      <c r="C50" s="10">
        <v>1827</v>
      </c>
      <c r="D50" s="10">
        <v>127</v>
      </c>
      <c r="E50" s="10">
        <v>436</v>
      </c>
      <c r="F50" s="16">
        <v>79</v>
      </c>
      <c r="G50" s="16">
        <v>599</v>
      </c>
      <c r="H50" s="16">
        <v>3862</v>
      </c>
      <c r="I50" s="99">
        <v>1017</v>
      </c>
      <c r="J50" s="16">
        <v>2058</v>
      </c>
      <c r="K50" s="162">
        <v>137</v>
      </c>
    </row>
    <row r="51" spans="1:11" ht="12.75" customHeight="1" x14ac:dyDescent="0.3">
      <c r="A51" s="128" t="s">
        <v>64</v>
      </c>
      <c r="B51" s="10">
        <v>11352</v>
      </c>
      <c r="C51" s="10">
        <v>671</v>
      </c>
      <c r="D51" s="10">
        <v>4</v>
      </c>
      <c r="E51" s="10">
        <v>450</v>
      </c>
      <c r="F51" s="16">
        <v>0</v>
      </c>
      <c r="G51" s="16">
        <v>0</v>
      </c>
      <c r="H51" s="16">
        <v>0</v>
      </c>
      <c r="I51" s="16">
        <v>0</v>
      </c>
      <c r="J51" s="10">
        <v>1680</v>
      </c>
      <c r="K51" s="162">
        <v>11</v>
      </c>
    </row>
    <row r="52" spans="1:11" ht="12.75" customHeight="1" x14ac:dyDescent="0.3">
      <c r="A52" s="128" t="s">
        <v>67</v>
      </c>
      <c r="B52" s="10">
        <v>15243</v>
      </c>
      <c r="C52" s="10">
        <v>923</v>
      </c>
      <c r="D52" s="10">
        <v>51</v>
      </c>
      <c r="E52" s="10">
        <v>269</v>
      </c>
      <c r="F52" s="16">
        <v>0</v>
      </c>
      <c r="G52" s="16">
        <v>0</v>
      </c>
      <c r="H52" s="16">
        <v>0</v>
      </c>
      <c r="I52" s="16">
        <v>0</v>
      </c>
      <c r="J52" s="10">
        <v>1688</v>
      </c>
      <c r="K52" s="162">
        <v>0</v>
      </c>
    </row>
    <row r="53" spans="1:11" ht="12.75" customHeight="1" x14ac:dyDescent="0.3">
      <c r="A53" s="128" t="s">
        <v>29</v>
      </c>
      <c r="B53" s="10">
        <v>26620</v>
      </c>
      <c r="C53" s="10">
        <v>1386</v>
      </c>
      <c r="D53" s="10">
        <v>76</v>
      </c>
      <c r="E53" s="10">
        <v>420</v>
      </c>
      <c r="F53" s="16">
        <v>97</v>
      </c>
      <c r="G53" s="16">
        <v>481</v>
      </c>
      <c r="H53" s="16">
        <v>4096</v>
      </c>
      <c r="I53" s="16">
        <v>441</v>
      </c>
      <c r="J53" s="10">
        <v>1122</v>
      </c>
      <c r="K53" s="162">
        <v>21</v>
      </c>
    </row>
    <row r="54" spans="1:11" ht="12.75" customHeight="1" x14ac:dyDescent="0.3">
      <c r="A54" s="128" t="s">
        <v>32</v>
      </c>
      <c r="B54" s="10">
        <v>7799</v>
      </c>
      <c r="C54" s="10">
        <v>843</v>
      </c>
      <c r="D54" s="10">
        <v>1</v>
      </c>
      <c r="E54" s="10">
        <v>156</v>
      </c>
      <c r="F54" s="16">
        <v>6</v>
      </c>
      <c r="G54" s="16">
        <v>66</v>
      </c>
      <c r="H54" s="16">
        <v>1250</v>
      </c>
      <c r="I54" s="16">
        <v>91</v>
      </c>
      <c r="J54" s="10">
        <v>707</v>
      </c>
      <c r="K54" s="162">
        <v>0</v>
      </c>
    </row>
    <row r="55" spans="1:11" ht="12.75" customHeight="1" x14ac:dyDescent="0.3">
      <c r="A55" s="128" t="s">
        <v>28</v>
      </c>
      <c r="B55" s="423" t="s">
        <v>202</v>
      </c>
      <c r="C55" s="10"/>
      <c r="D55" s="10"/>
      <c r="E55" s="10"/>
      <c r="F55" s="16"/>
      <c r="G55" s="16"/>
      <c r="H55" s="16"/>
      <c r="I55" s="16"/>
      <c r="J55" s="10"/>
      <c r="K55" s="162">
        <v>0</v>
      </c>
    </row>
    <row r="56" spans="1:11" ht="12.75" customHeight="1" x14ac:dyDescent="0.3">
      <c r="A56" s="128" t="s">
        <v>56</v>
      </c>
      <c r="B56" s="10">
        <v>7348</v>
      </c>
      <c r="C56" s="10">
        <v>198</v>
      </c>
      <c r="D56" s="10">
        <v>0</v>
      </c>
      <c r="E56" s="10">
        <v>158</v>
      </c>
      <c r="F56" s="16">
        <v>3</v>
      </c>
      <c r="G56" s="16">
        <v>28</v>
      </c>
      <c r="H56" s="16">
        <v>567</v>
      </c>
      <c r="I56" s="16">
        <v>38</v>
      </c>
      <c r="J56" s="10">
        <v>427</v>
      </c>
      <c r="K56" s="162">
        <v>6</v>
      </c>
    </row>
    <row r="57" spans="1:11" ht="12.75" customHeight="1" x14ac:dyDescent="0.3">
      <c r="A57" s="128" t="s">
        <v>31</v>
      </c>
      <c r="B57" s="10">
        <v>9803</v>
      </c>
      <c r="C57" s="10">
        <v>555</v>
      </c>
      <c r="D57" s="10">
        <v>0</v>
      </c>
      <c r="E57" s="10">
        <v>717</v>
      </c>
      <c r="F57" s="16">
        <v>0</v>
      </c>
      <c r="G57" s="16">
        <v>0</v>
      </c>
      <c r="H57" s="16">
        <v>0</v>
      </c>
      <c r="I57" s="16">
        <v>0</v>
      </c>
      <c r="J57" s="10">
        <v>246</v>
      </c>
      <c r="K57" s="162">
        <v>0</v>
      </c>
    </row>
    <row r="58" spans="1:11" ht="12.75" customHeight="1" x14ac:dyDescent="0.3">
      <c r="A58" s="87" t="s">
        <v>24</v>
      </c>
      <c r="B58" s="24">
        <v>279797</v>
      </c>
      <c r="C58" s="24">
        <v>15064</v>
      </c>
      <c r="D58" s="24">
        <v>746</v>
      </c>
      <c r="E58" s="24">
        <v>4425</v>
      </c>
      <c r="F58" s="24">
        <v>327</v>
      </c>
      <c r="G58" s="24">
        <v>2057</v>
      </c>
      <c r="H58" s="24">
        <v>14497</v>
      </c>
      <c r="I58" s="24">
        <v>2921</v>
      </c>
      <c r="J58" s="24">
        <v>18191</v>
      </c>
      <c r="K58" s="273">
        <v>618</v>
      </c>
    </row>
    <row r="60" spans="1:11" ht="12.75" customHeight="1" x14ac:dyDescent="0.25">
      <c r="A60" s="22" t="s">
        <v>116</v>
      </c>
    </row>
    <row r="61" spans="1:11" ht="12.75" customHeight="1" x14ac:dyDescent="0.25">
      <c r="A61" s="22" t="s">
        <v>117</v>
      </c>
      <c r="F61" s="12"/>
    </row>
  </sheetData>
  <phoneticPr fontId="4" type="noConversion"/>
  <printOptions headings="1" gridLines="1" gridLinesSet="0"/>
  <pageMargins left="0.43307086614173229" right="0.23622047244094491" top="0.74803149606299213" bottom="0.74803149606299213" header="0.31496062992125984" footer="0.31496062992125984"/>
  <pageSetup paperSize="9" scale="1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9AC78A-47D1-4B57-ABB7-5E6E44C3A1A3}">
  <dimension ref="A7:S99"/>
  <sheetViews>
    <sheetView topLeftCell="A54" workbookViewId="0">
      <selection activeCell="M102" sqref="M102"/>
    </sheetView>
  </sheetViews>
  <sheetFormatPr defaultRowHeight="12.5" x14ac:dyDescent="0.25"/>
  <sheetData>
    <row r="7" spans="1:19" ht="13" x14ac:dyDescent="0.3">
      <c r="A7" s="1" t="s">
        <v>0</v>
      </c>
      <c r="B7" s="2" t="s">
        <v>1</v>
      </c>
      <c r="C7" s="2" t="s">
        <v>2</v>
      </c>
      <c r="D7" s="2" t="s">
        <v>3</v>
      </c>
      <c r="E7" s="2" t="s">
        <v>4</v>
      </c>
      <c r="F7" s="2" t="s">
        <v>5</v>
      </c>
      <c r="G7" s="2" t="s">
        <v>6</v>
      </c>
      <c r="H7" s="32" t="s">
        <v>7</v>
      </c>
      <c r="I7" s="1" t="s">
        <v>8</v>
      </c>
      <c r="J7" s="2" t="s">
        <v>10</v>
      </c>
      <c r="K7" s="2" t="s">
        <v>1</v>
      </c>
      <c r="L7" s="2" t="s">
        <v>9</v>
      </c>
      <c r="O7" s="275" t="s">
        <v>94</v>
      </c>
      <c r="P7" s="275" t="s">
        <v>95</v>
      </c>
      <c r="Q7" s="164"/>
      <c r="R7" s="275" t="s">
        <v>87</v>
      </c>
      <c r="S7" s="275" t="s">
        <v>88</v>
      </c>
    </row>
    <row r="8" spans="1:19" ht="13" x14ac:dyDescent="0.3">
      <c r="A8" t="s">
        <v>11</v>
      </c>
      <c r="B8" s="10">
        <v>425</v>
      </c>
      <c r="C8" s="10">
        <v>289</v>
      </c>
      <c r="D8" s="10">
        <v>6</v>
      </c>
      <c r="E8" s="10">
        <v>0</v>
      </c>
      <c r="F8" s="10">
        <v>24</v>
      </c>
      <c r="G8" s="10">
        <v>15</v>
      </c>
      <c r="H8" s="31">
        <v>0</v>
      </c>
      <c r="I8" s="10">
        <f>SUM(C8:G8)</f>
        <v>334</v>
      </c>
      <c r="J8" s="10">
        <v>252</v>
      </c>
      <c r="K8" s="276">
        <f t="shared" ref="K8:L8" si="0">O8/R8</f>
        <v>-4.0632054176072234E-2</v>
      </c>
      <c r="L8" s="277">
        <f t="shared" si="0"/>
        <v>-1.7647058823529412E-2</v>
      </c>
      <c r="M8" s="22"/>
      <c r="N8" s="22"/>
      <c r="O8" s="143">
        <v>-18</v>
      </c>
      <c r="P8" s="143">
        <v>-6</v>
      </c>
      <c r="R8" s="10">
        <v>443</v>
      </c>
      <c r="S8" s="10">
        <v>340</v>
      </c>
    </row>
    <row r="9" spans="1:19" ht="13" x14ac:dyDescent="0.3">
      <c r="A9" t="s">
        <v>12</v>
      </c>
      <c r="B9" s="10">
        <v>429</v>
      </c>
      <c r="C9" s="10">
        <v>319</v>
      </c>
      <c r="D9" s="10">
        <v>0</v>
      </c>
      <c r="E9" s="10">
        <v>0</v>
      </c>
      <c r="F9" s="10">
        <v>18</v>
      </c>
      <c r="G9" s="10">
        <v>7</v>
      </c>
      <c r="H9" s="31">
        <v>0</v>
      </c>
      <c r="I9" s="10">
        <f t="shared" ref="I9:I19" si="1">SUM(C9:G9)</f>
        <v>344</v>
      </c>
      <c r="J9" s="10">
        <v>144</v>
      </c>
      <c r="K9" s="278">
        <v>6.1881188118811881E-2</v>
      </c>
      <c r="L9" s="279">
        <v>2.3809523809523808E-2</v>
      </c>
      <c r="M9" s="22"/>
      <c r="N9" s="22"/>
      <c r="O9" s="143">
        <v>25</v>
      </c>
      <c r="P9" s="143">
        <v>8</v>
      </c>
      <c r="R9" s="10">
        <v>404</v>
      </c>
      <c r="S9" s="10">
        <v>336</v>
      </c>
    </row>
    <row r="10" spans="1:19" ht="13" x14ac:dyDescent="0.3">
      <c r="A10" t="s">
        <v>13</v>
      </c>
      <c r="B10" s="10">
        <v>570</v>
      </c>
      <c r="C10" s="10">
        <v>378</v>
      </c>
      <c r="D10" s="10">
        <v>8</v>
      </c>
      <c r="E10" s="10">
        <v>0</v>
      </c>
      <c r="F10" s="10">
        <v>16</v>
      </c>
      <c r="G10" s="10">
        <v>34</v>
      </c>
      <c r="H10" s="31">
        <v>0</v>
      </c>
      <c r="I10" s="10">
        <f t="shared" si="1"/>
        <v>436</v>
      </c>
      <c r="J10" s="10">
        <v>208</v>
      </c>
      <c r="K10" s="278">
        <v>0.10894941634241245</v>
      </c>
      <c r="L10" s="279">
        <v>0.13838120104438642</v>
      </c>
      <c r="M10" s="22"/>
      <c r="N10" s="22"/>
      <c r="O10" s="143">
        <v>56</v>
      </c>
      <c r="P10" s="143">
        <v>53</v>
      </c>
      <c r="R10" s="10">
        <v>514</v>
      </c>
      <c r="S10" s="10">
        <v>383</v>
      </c>
    </row>
    <row r="11" spans="1:19" ht="13" x14ac:dyDescent="0.3">
      <c r="A11" t="s">
        <v>14</v>
      </c>
      <c r="B11" s="10">
        <v>612</v>
      </c>
      <c r="C11" s="10">
        <v>352</v>
      </c>
      <c r="D11" s="10">
        <v>4</v>
      </c>
      <c r="E11" s="10">
        <v>0</v>
      </c>
      <c r="F11" s="10">
        <v>14</v>
      </c>
      <c r="G11" s="10">
        <v>43</v>
      </c>
      <c r="H11" s="31">
        <v>0</v>
      </c>
      <c r="I11" s="10">
        <f t="shared" si="1"/>
        <v>413</v>
      </c>
      <c r="J11" s="10">
        <v>152</v>
      </c>
      <c r="K11" s="278">
        <v>0.44680851063829785</v>
      </c>
      <c r="L11" s="279">
        <v>0.26687116564417179</v>
      </c>
      <c r="M11" s="22"/>
      <c r="N11" s="22"/>
      <c r="O11" s="143">
        <v>189</v>
      </c>
      <c r="P11" s="143">
        <v>87</v>
      </c>
      <c r="R11" s="10">
        <v>423</v>
      </c>
      <c r="S11" s="10">
        <v>326</v>
      </c>
    </row>
    <row r="12" spans="1:19" ht="13" x14ac:dyDescent="0.3">
      <c r="A12" t="s">
        <v>15</v>
      </c>
      <c r="B12" s="10">
        <v>819</v>
      </c>
      <c r="C12" s="10">
        <v>478</v>
      </c>
      <c r="D12" s="10">
        <v>12</v>
      </c>
      <c r="E12" s="10">
        <v>0</v>
      </c>
      <c r="F12" s="10">
        <v>6</v>
      </c>
      <c r="G12" s="10">
        <v>90</v>
      </c>
      <c r="H12" s="31">
        <v>0</v>
      </c>
      <c r="I12" s="10">
        <f t="shared" si="1"/>
        <v>586</v>
      </c>
      <c r="J12" s="10">
        <v>168</v>
      </c>
      <c r="K12" s="278">
        <v>0.26976744186046514</v>
      </c>
      <c r="L12" s="279">
        <v>0.19591836734693877</v>
      </c>
      <c r="M12" s="22"/>
      <c r="N12" s="22"/>
      <c r="O12" s="143">
        <v>174</v>
      </c>
      <c r="P12" s="143">
        <v>96</v>
      </c>
      <c r="R12" s="10">
        <v>645</v>
      </c>
      <c r="S12" s="10">
        <v>490</v>
      </c>
    </row>
    <row r="13" spans="1:19" ht="13" x14ac:dyDescent="0.3">
      <c r="A13" t="s">
        <v>16</v>
      </c>
      <c r="B13" s="10">
        <v>979</v>
      </c>
      <c r="C13" s="10">
        <v>524</v>
      </c>
      <c r="D13" s="10">
        <v>16</v>
      </c>
      <c r="E13" s="10">
        <v>2</v>
      </c>
      <c r="F13" s="10">
        <v>12</v>
      </c>
      <c r="G13" s="10">
        <v>76</v>
      </c>
      <c r="H13" s="31">
        <v>0</v>
      </c>
      <c r="I13" s="10">
        <f t="shared" si="1"/>
        <v>630</v>
      </c>
      <c r="J13" s="10">
        <v>280</v>
      </c>
      <c r="K13" s="278">
        <v>2.1920668058455117E-2</v>
      </c>
      <c r="L13" s="279">
        <v>2.4390243902439025E-2</v>
      </c>
      <c r="M13" s="22"/>
      <c r="N13" s="22"/>
      <c r="O13" s="143">
        <v>21</v>
      </c>
      <c r="P13" s="143">
        <v>15</v>
      </c>
      <c r="R13" s="10">
        <v>958</v>
      </c>
      <c r="S13" s="10">
        <v>615</v>
      </c>
    </row>
    <row r="14" spans="1:19" ht="13" x14ac:dyDescent="0.3">
      <c r="A14" t="s">
        <v>17</v>
      </c>
      <c r="B14" s="10">
        <v>1967</v>
      </c>
      <c r="C14" s="10">
        <v>808</v>
      </c>
      <c r="D14" s="10">
        <v>16</v>
      </c>
      <c r="E14" s="10">
        <v>0</v>
      </c>
      <c r="F14" s="10">
        <v>32</v>
      </c>
      <c r="G14" s="10">
        <v>243</v>
      </c>
      <c r="H14" s="31">
        <v>0</v>
      </c>
      <c r="I14" s="10">
        <f t="shared" si="1"/>
        <v>1099</v>
      </c>
      <c r="J14" s="10">
        <v>416</v>
      </c>
      <c r="K14" s="278">
        <v>-5.7046979865771813E-2</v>
      </c>
      <c r="L14" s="279">
        <v>-8.7966804979253119E-2</v>
      </c>
      <c r="M14" s="22"/>
      <c r="N14" s="22"/>
      <c r="O14" s="143">
        <v>-119</v>
      </c>
      <c r="P14" s="143">
        <v>-106</v>
      </c>
      <c r="R14" s="10">
        <v>2086</v>
      </c>
      <c r="S14" s="10">
        <v>1205</v>
      </c>
    </row>
    <row r="15" spans="1:19" ht="13" x14ac:dyDescent="0.3">
      <c r="A15" t="s">
        <v>18</v>
      </c>
      <c r="B15" s="10">
        <v>1171</v>
      </c>
      <c r="C15" s="10">
        <v>572</v>
      </c>
      <c r="D15" s="10">
        <v>8</v>
      </c>
      <c r="E15" s="10">
        <v>0</v>
      </c>
      <c r="F15" s="10">
        <v>26</v>
      </c>
      <c r="G15" s="10">
        <v>175</v>
      </c>
      <c r="H15" s="31">
        <v>0</v>
      </c>
      <c r="I15" s="10">
        <f t="shared" si="1"/>
        <v>781</v>
      </c>
      <c r="J15" s="10">
        <v>288</v>
      </c>
      <c r="K15" s="278">
        <v>2.5684931506849314E-3</v>
      </c>
      <c r="L15" s="279">
        <v>6.5484311050477487E-2</v>
      </c>
      <c r="M15" s="22"/>
      <c r="N15" s="22"/>
      <c r="O15" s="143">
        <v>3</v>
      </c>
      <c r="P15" s="143">
        <v>48</v>
      </c>
      <c r="R15" s="10">
        <v>1168</v>
      </c>
      <c r="S15" s="10">
        <v>733</v>
      </c>
    </row>
    <row r="16" spans="1:19" ht="13" x14ac:dyDescent="0.3">
      <c r="A16" t="s">
        <v>19</v>
      </c>
      <c r="B16" s="10">
        <v>684</v>
      </c>
      <c r="C16" s="10">
        <v>400</v>
      </c>
      <c r="D16" s="10">
        <v>8</v>
      </c>
      <c r="E16" s="10">
        <v>0</v>
      </c>
      <c r="F16" s="10">
        <v>26</v>
      </c>
      <c r="G16" s="10">
        <v>68</v>
      </c>
      <c r="H16" s="31">
        <v>0</v>
      </c>
      <c r="I16" s="10">
        <f t="shared" si="1"/>
        <v>502</v>
      </c>
      <c r="J16" s="10">
        <v>288</v>
      </c>
      <c r="K16" s="278">
        <v>-4.8678720445062586E-2</v>
      </c>
      <c r="L16" s="279">
        <v>-7.720588235294118E-2</v>
      </c>
      <c r="M16" s="22"/>
      <c r="N16" s="22"/>
      <c r="O16" s="143">
        <v>-35</v>
      </c>
      <c r="P16" s="143">
        <v>-42</v>
      </c>
      <c r="R16" s="10">
        <v>719</v>
      </c>
      <c r="S16" s="10">
        <v>544</v>
      </c>
    </row>
    <row r="17" spans="1:19" ht="13" x14ac:dyDescent="0.3">
      <c r="A17" t="s">
        <v>20</v>
      </c>
      <c r="B17" s="10">
        <v>620</v>
      </c>
      <c r="C17" s="10">
        <v>391</v>
      </c>
      <c r="D17" s="10">
        <v>16</v>
      </c>
      <c r="E17" s="10">
        <v>0</v>
      </c>
      <c r="F17" s="10">
        <v>26</v>
      </c>
      <c r="G17" s="10">
        <v>42</v>
      </c>
      <c r="H17" s="31">
        <v>0</v>
      </c>
      <c r="I17" s="10">
        <f t="shared" si="1"/>
        <v>475</v>
      </c>
      <c r="J17" s="10">
        <v>368</v>
      </c>
      <c r="K17" s="278">
        <v>-6.9069069069069067E-2</v>
      </c>
      <c r="L17" s="279">
        <v>-1.2474012474012475E-2</v>
      </c>
      <c r="M17" s="22"/>
      <c r="N17" s="22"/>
      <c r="O17" s="143">
        <v>-46</v>
      </c>
      <c r="P17" s="143">
        <v>-6</v>
      </c>
      <c r="R17" s="10">
        <v>666</v>
      </c>
      <c r="S17" s="10">
        <v>481</v>
      </c>
    </row>
    <row r="18" spans="1:19" ht="13" x14ac:dyDescent="0.3">
      <c r="A18" t="s">
        <v>21</v>
      </c>
      <c r="B18" s="10">
        <v>627</v>
      </c>
      <c r="C18" s="10">
        <v>379</v>
      </c>
      <c r="D18" s="10">
        <v>43</v>
      </c>
      <c r="E18" s="10">
        <v>0</v>
      </c>
      <c r="F18" s="10">
        <v>40</v>
      </c>
      <c r="G18" s="10">
        <v>40</v>
      </c>
      <c r="H18" s="31">
        <v>0</v>
      </c>
      <c r="I18" s="10">
        <f t="shared" si="1"/>
        <v>502</v>
      </c>
      <c r="J18" s="10">
        <v>750</v>
      </c>
      <c r="K18" s="278">
        <v>0.11565836298932385</v>
      </c>
      <c r="L18" s="279">
        <v>0.15402298850574714</v>
      </c>
      <c r="M18" s="22"/>
      <c r="N18" s="22"/>
      <c r="O18" s="143">
        <v>65</v>
      </c>
      <c r="P18" s="143">
        <v>67</v>
      </c>
      <c r="R18" s="10">
        <v>562</v>
      </c>
      <c r="S18" s="10">
        <v>435</v>
      </c>
    </row>
    <row r="19" spans="1:19" ht="13" x14ac:dyDescent="0.3">
      <c r="A19" s="4" t="s">
        <v>22</v>
      </c>
      <c r="B19" s="11">
        <v>553</v>
      </c>
      <c r="C19" s="11">
        <v>376</v>
      </c>
      <c r="D19" s="11">
        <v>16</v>
      </c>
      <c r="E19" s="11">
        <v>0</v>
      </c>
      <c r="F19" s="11">
        <v>27</v>
      </c>
      <c r="G19" s="11">
        <v>18</v>
      </c>
      <c r="H19" s="30">
        <v>0</v>
      </c>
      <c r="I19" s="11">
        <f t="shared" si="1"/>
        <v>437</v>
      </c>
      <c r="J19" s="81">
        <v>376</v>
      </c>
      <c r="K19" s="280">
        <v>8.8582677165354326E-2</v>
      </c>
      <c r="L19" s="281">
        <v>0.17473118279569894</v>
      </c>
      <c r="M19" s="22"/>
      <c r="N19" s="22"/>
      <c r="O19" s="169">
        <v>45</v>
      </c>
      <c r="P19" s="169">
        <v>65</v>
      </c>
      <c r="R19" s="11">
        <v>508</v>
      </c>
      <c r="S19" s="10">
        <v>372</v>
      </c>
    </row>
    <row r="20" spans="1:19" ht="13" x14ac:dyDescent="0.3">
      <c r="A20" s="3" t="s">
        <v>93</v>
      </c>
      <c r="B20" s="8">
        <f t="shared" ref="B20:J20" si="2">SUM(B8:B19)</f>
        <v>9456</v>
      </c>
      <c r="C20" s="8">
        <f t="shared" si="2"/>
        <v>5266</v>
      </c>
      <c r="D20" s="8">
        <f t="shared" si="2"/>
        <v>153</v>
      </c>
      <c r="E20" s="8">
        <f t="shared" si="2"/>
        <v>2</v>
      </c>
      <c r="F20" s="8">
        <f t="shared" si="2"/>
        <v>267</v>
      </c>
      <c r="G20" s="8">
        <f t="shared" si="2"/>
        <v>851</v>
      </c>
      <c r="H20" s="31">
        <f t="shared" si="2"/>
        <v>0</v>
      </c>
      <c r="I20" s="8">
        <f t="shared" si="2"/>
        <v>6539</v>
      </c>
      <c r="J20" s="8">
        <f t="shared" si="2"/>
        <v>3690</v>
      </c>
      <c r="K20" s="283">
        <v>3.9577836411609502E-2</v>
      </c>
      <c r="L20" s="171">
        <v>4.4568690095846644E-2</v>
      </c>
      <c r="M20" s="22"/>
      <c r="N20" s="22"/>
      <c r="O20" s="143">
        <v>360</v>
      </c>
      <c r="P20" s="143">
        <v>279</v>
      </c>
      <c r="R20" s="99">
        <v>9096</v>
      </c>
      <c r="S20" s="99">
        <v>6260</v>
      </c>
    </row>
    <row r="21" spans="1:19" ht="13" x14ac:dyDescent="0.3">
      <c r="A21" s="5" t="s">
        <v>86</v>
      </c>
      <c r="B21" s="9">
        <v>9096</v>
      </c>
      <c r="C21" s="9">
        <v>4947</v>
      </c>
      <c r="D21" s="9">
        <v>117</v>
      </c>
      <c r="E21" s="9">
        <v>0</v>
      </c>
      <c r="F21" s="9">
        <v>266</v>
      </c>
      <c r="G21" s="9">
        <v>930</v>
      </c>
      <c r="H21" s="9">
        <v>0</v>
      </c>
      <c r="I21" s="9">
        <v>6260</v>
      </c>
      <c r="J21" s="9">
        <v>3298</v>
      </c>
      <c r="K21" s="284"/>
      <c r="L21" s="157"/>
    </row>
    <row r="22" spans="1:19" ht="13" x14ac:dyDescent="0.3">
      <c r="A22" s="5" t="s">
        <v>23</v>
      </c>
      <c r="B22" s="9">
        <f t="shared" ref="B22:J22" si="3">B20-B21</f>
        <v>360</v>
      </c>
      <c r="C22" s="9">
        <f t="shared" si="3"/>
        <v>319</v>
      </c>
      <c r="D22" s="9">
        <f t="shared" si="3"/>
        <v>36</v>
      </c>
      <c r="E22" s="9">
        <f t="shared" si="3"/>
        <v>2</v>
      </c>
      <c r="F22" s="9">
        <f t="shared" si="3"/>
        <v>1</v>
      </c>
      <c r="G22" s="9">
        <f t="shared" si="3"/>
        <v>-79</v>
      </c>
      <c r="H22" s="30">
        <f t="shared" si="3"/>
        <v>0</v>
      </c>
      <c r="I22" s="9">
        <f t="shared" si="3"/>
        <v>279</v>
      </c>
      <c r="J22" s="9">
        <f t="shared" si="3"/>
        <v>392</v>
      </c>
      <c r="K22" s="48"/>
      <c r="L22" s="158"/>
      <c r="R22" s="22"/>
    </row>
    <row r="34" spans="1:19" ht="12.75" customHeight="1" x14ac:dyDescent="0.25"/>
    <row r="35" spans="1:19" ht="12.75" customHeight="1" x14ac:dyDescent="0.25"/>
    <row r="36" spans="1:19" ht="12.75" customHeight="1" x14ac:dyDescent="0.25"/>
    <row r="37" spans="1:19" ht="12.75" customHeight="1" x14ac:dyDescent="0.25"/>
    <row r="38" spans="1:19" ht="12.75" customHeight="1" x14ac:dyDescent="0.25"/>
    <row r="39" spans="1:19" ht="12.75" customHeight="1" x14ac:dyDescent="0.3">
      <c r="A39" s="1" t="s">
        <v>0</v>
      </c>
      <c r="B39" s="2" t="s">
        <v>1</v>
      </c>
      <c r="C39" s="2" t="s">
        <v>2</v>
      </c>
      <c r="D39" s="2" t="s">
        <v>3</v>
      </c>
      <c r="E39" s="2" t="s">
        <v>4</v>
      </c>
      <c r="F39" s="2" t="s">
        <v>5</v>
      </c>
      <c r="G39" s="2" t="s">
        <v>6</v>
      </c>
      <c r="H39" s="32" t="s">
        <v>7</v>
      </c>
      <c r="I39" s="1" t="s">
        <v>8</v>
      </c>
      <c r="J39" s="2" t="s">
        <v>10</v>
      </c>
      <c r="K39" s="2" t="s">
        <v>1</v>
      </c>
      <c r="L39" s="2" t="s">
        <v>9</v>
      </c>
      <c r="O39" s="275" t="s">
        <v>103</v>
      </c>
      <c r="P39" s="275" t="s">
        <v>104</v>
      </c>
      <c r="Q39" s="164"/>
      <c r="R39" s="275" t="s">
        <v>94</v>
      </c>
      <c r="S39" s="275" t="s">
        <v>95</v>
      </c>
    </row>
    <row r="40" spans="1:19" ht="12.75" customHeight="1" x14ac:dyDescent="0.3">
      <c r="A40" t="s">
        <v>11</v>
      </c>
      <c r="B40" s="10">
        <v>402</v>
      </c>
      <c r="C40" s="10">
        <v>277</v>
      </c>
      <c r="D40" s="10">
        <v>10</v>
      </c>
      <c r="E40" s="10">
        <v>0</v>
      </c>
      <c r="F40" s="10">
        <v>20</v>
      </c>
      <c r="G40" s="10">
        <v>25</v>
      </c>
      <c r="H40" s="31">
        <v>0</v>
      </c>
      <c r="I40" s="10">
        <f>SUM(C40:G40)</f>
        <v>332</v>
      </c>
      <c r="J40" s="10">
        <v>260</v>
      </c>
      <c r="K40" s="276">
        <v>-5.4117647058823527E-2</v>
      </c>
      <c r="L40" s="277">
        <v>-5.9880239520958087E-3</v>
      </c>
      <c r="M40" s="22"/>
      <c r="N40" s="22"/>
      <c r="O40" s="143">
        <v>-23</v>
      </c>
      <c r="P40" s="143">
        <v>-2</v>
      </c>
      <c r="R40" s="10">
        <v>425</v>
      </c>
      <c r="S40" s="10">
        <v>334</v>
      </c>
    </row>
    <row r="41" spans="1:19" ht="12.75" customHeight="1" x14ac:dyDescent="0.3">
      <c r="A41" t="s">
        <v>12</v>
      </c>
      <c r="B41" s="10">
        <v>412</v>
      </c>
      <c r="C41" s="10">
        <v>271</v>
      </c>
      <c r="D41" s="10">
        <v>5</v>
      </c>
      <c r="E41" s="10">
        <v>0</v>
      </c>
      <c r="F41" s="10">
        <v>30</v>
      </c>
      <c r="G41" s="10">
        <v>14</v>
      </c>
      <c r="H41" s="31">
        <v>0</v>
      </c>
      <c r="I41" s="10">
        <f t="shared" ref="I41:I51" si="4">SUM(C41:G41)</f>
        <v>320</v>
      </c>
      <c r="J41" s="10">
        <v>290</v>
      </c>
      <c r="K41" s="278">
        <v>-3.9627039627039624E-2</v>
      </c>
      <c r="L41" s="279">
        <v>-6.9767441860465115E-2</v>
      </c>
      <c r="M41" s="22"/>
      <c r="N41" s="22"/>
      <c r="O41" s="143">
        <v>-17</v>
      </c>
      <c r="P41" s="143">
        <v>-24</v>
      </c>
      <c r="R41" s="10">
        <v>429</v>
      </c>
      <c r="S41" s="10">
        <v>344</v>
      </c>
    </row>
    <row r="42" spans="1:19" ht="12.75" customHeight="1" x14ac:dyDescent="0.3">
      <c r="A42" t="s">
        <v>13</v>
      </c>
      <c r="B42" s="10">
        <v>479</v>
      </c>
      <c r="C42" s="10">
        <v>318</v>
      </c>
      <c r="D42" s="10">
        <v>4</v>
      </c>
      <c r="E42" s="10">
        <v>0</v>
      </c>
      <c r="F42" s="10">
        <v>35</v>
      </c>
      <c r="G42" s="10">
        <v>23</v>
      </c>
      <c r="H42" s="31">
        <v>0</v>
      </c>
      <c r="I42" s="10">
        <f t="shared" si="4"/>
        <v>380</v>
      </c>
      <c r="J42" s="10">
        <v>320</v>
      </c>
      <c r="K42" s="278">
        <v>-0.15964912280701754</v>
      </c>
      <c r="L42" s="279">
        <v>-0.12844036697247707</v>
      </c>
      <c r="M42" s="22"/>
      <c r="N42" s="22"/>
      <c r="O42" s="143">
        <v>-91</v>
      </c>
      <c r="P42" s="143">
        <v>-56</v>
      </c>
      <c r="R42" s="10">
        <v>570</v>
      </c>
      <c r="S42" s="10">
        <v>436</v>
      </c>
    </row>
    <row r="43" spans="1:19" ht="12.75" customHeight="1" x14ac:dyDescent="0.3">
      <c r="A43" t="s">
        <v>14</v>
      </c>
      <c r="B43" s="10">
        <v>551</v>
      </c>
      <c r="C43" s="10">
        <v>327</v>
      </c>
      <c r="D43" s="10">
        <v>42</v>
      </c>
      <c r="E43" s="10">
        <v>0</v>
      </c>
      <c r="F43" s="10">
        <v>40</v>
      </c>
      <c r="G43" s="10">
        <v>47</v>
      </c>
      <c r="H43" s="31">
        <v>0</v>
      </c>
      <c r="I43" s="10">
        <f t="shared" si="4"/>
        <v>456</v>
      </c>
      <c r="J43" s="10">
        <v>740</v>
      </c>
      <c r="K43" s="278">
        <v>-9.9673202614379092E-2</v>
      </c>
      <c r="L43" s="279">
        <v>0.10411622276029056</v>
      </c>
      <c r="M43" s="22"/>
      <c r="N43" s="22"/>
      <c r="O43" s="143">
        <v>-61</v>
      </c>
      <c r="P43" s="143">
        <v>43</v>
      </c>
      <c r="R43" s="10">
        <v>612</v>
      </c>
      <c r="S43" s="10">
        <v>413</v>
      </c>
    </row>
    <row r="44" spans="1:19" ht="12.75" customHeight="1" x14ac:dyDescent="0.3">
      <c r="A44" t="s">
        <v>15</v>
      </c>
      <c r="B44" s="10">
        <v>859</v>
      </c>
      <c r="C44" s="10">
        <v>489</v>
      </c>
      <c r="D44" s="10">
        <v>12</v>
      </c>
      <c r="E44" s="10">
        <v>0</v>
      </c>
      <c r="F44" s="10">
        <v>29</v>
      </c>
      <c r="G44" s="10">
        <v>85</v>
      </c>
      <c r="H44" s="31">
        <v>0</v>
      </c>
      <c r="I44" s="10">
        <f t="shared" si="4"/>
        <v>615</v>
      </c>
      <c r="J44" s="10">
        <v>352</v>
      </c>
      <c r="K44" s="278">
        <v>4.884004884004884E-2</v>
      </c>
      <c r="L44" s="279">
        <v>4.9488054607508533E-2</v>
      </c>
      <c r="M44" s="22"/>
      <c r="N44" s="22"/>
      <c r="O44" s="143">
        <v>40</v>
      </c>
      <c r="P44" s="143">
        <v>29</v>
      </c>
      <c r="R44" s="10">
        <v>819</v>
      </c>
      <c r="S44" s="10">
        <v>586</v>
      </c>
    </row>
    <row r="45" spans="1:19" ht="12.75" customHeight="1" x14ac:dyDescent="0.3">
      <c r="A45" t="s">
        <v>16</v>
      </c>
      <c r="B45" s="10">
        <v>1013</v>
      </c>
      <c r="C45" s="10">
        <v>505</v>
      </c>
      <c r="D45" s="10">
        <v>16</v>
      </c>
      <c r="E45" s="10">
        <v>0</v>
      </c>
      <c r="F45" s="10">
        <v>29</v>
      </c>
      <c r="G45" s="10">
        <v>62</v>
      </c>
      <c r="H45" s="31">
        <v>0</v>
      </c>
      <c r="I45" s="10">
        <f t="shared" si="4"/>
        <v>612</v>
      </c>
      <c r="J45" s="10">
        <v>392</v>
      </c>
      <c r="K45" s="278">
        <v>3.472931562819203E-2</v>
      </c>
      <c r="L45" s="279">
        <v>-2.8571428571428571E-2</v>
      </c>
      <c r="M45" s="22"/>
      <c r="N45" s="22"/>
      <c r="O45" s="143">
        <v>34</v>
      </c>
      <c r="P45" s="143">
        <v>-18</v>
      </c>
      <c r="R45" s="10">
        <v>979</v>
      </c>
      <c r="S45" s="10">
        <v>630</v>
      </c>
    </row>
    <row r="46" spans="1:19" ht="12.75" customHeight="1" x14ac:dyDescent="0.3">
      <c r="A46" t="s">
        <v>17</v>
      </c>
      <c r="B46" s="10">
        <v>1619</v>
      </c>
      <c r="C46" s="10">
        <v>714</v>
      </c>
      <c r="D46" s="10">
        <v>4</v>
      </c>
      <c r="E46" s="10">
        <v>0</v>
      </c>
      <c r="F46" s="10">
        <v>11</v>
      </c>
      <c r="G46" s="10">
        <v>195</v>
      </c>
      <c r="H46" s="31">
        <v>0</v>
      </c>
      <c r="I46" s="10">
        <f t="shared" si="4"/>
        <v>924</v>
      </c>
      <c r="J46" s="10">
        <v>128</v>
      </c>
      <c r="K46" s="278">
        <v>-0.17691916624300966</v>
      </c>
      <c r="L46" s="279">
        <v>-0.15923566878980891</v>
      </c>
      <c r="M46" s="22"/>
      <c r="N46" s="22"/>
      <c r="O46" s="143">
        <v>-348</v>
      </c>
      <c r="P46" s="143">
        <v>-175</v>
      </c>
      <c r="R46" s="10">
        <v>1967</v>
      </c>
      <c r="S46" s="10">
        <v>1099</v>
      </c>
    </row>
    <row r="47" spans="1:19" ht="12.75" customHeight="1" x14ac:dyDescent="0.3">
      <c r="A47" t="s">
        <v>18</v>
      </c>
      <c r="B47" s="10">
        <v>1221</v>
      </c>
      <c r="C47" s="10">
        <v>575</v>
      </c>
      <c r="D47" s="10">
        <v>4</v>
      </c>
      <c r="E47" s="10">
        <v>0</v>
      </c>
      <c r="F47" s="10">
        <v>20</v>
      </c>
      <c r="G47" s="10">
        <v>160</v>
      </c>
      <c r="H47" s="31">
        <v>0</v>
      </c>
      <c r="I47" s="10">
        <f t="shared" si="4"/>
        <v>759</v>
      </c>
      <c r="J47" s="10">
        <v>200</v>
      </c>
      <c r="K47" s="278">
        <v>4.2698548249359522E-2</v>
      </c>
      <c r="L47" s="279">
        <v>-2.8169014084507043E-2</v>
      </c>
      <c r="M47" s="22"/>
      <c r="N47" s="22"/>
      <c r="O47" s="143">
        <v>50</v>
      </c>
      <c r="P47" s="143">
        <v>-22</v>
      </c>
      <c r="R47" s="10">
        <v>1171</v>
      </c>
      <c r="S47" s="10">
        <v>781</v>
      </c>
    </row>
    <row r="48" spans="1:19" ht="12.75" customHeight="1" x14ac:dyDescent="0.3">
      <c r="A48" t="s">
        <v>19</v>
      </c>
      <c r="B48" s="10">
        <v>587</v>
      </c>
      <c r="C48" s="10">
        <v>362</v>
      </c>
      <c r="D48" s="10">
        <v>2</v>
      </c>
      <c r="E48" s="10">
        <v>0</v>
      </c>
      <c r="F48" s="10">
        <v>27</v>
      </c>
      <c r="G48" s="10">
        <v>36</v>
      </c>
      <c r="H48" s="31">
        <v>0</v>
      </c>
      <c r="I48" s="10">
        <f t="shared" si="4"/>
        <v>427</v>
      </c>
      <c r="J48" s="10">
        <v>236</v>
      </c>
      <c r="K48" s="278">
        <v>-0.14181286549707603</v>
      </c>
      <c r="L48" s="279">
        <v>-0.14940239043824702</v>
      </c>
      <c r="M48" s="22"/>
      <c r="N48" s="22"/>
      <c r="O48" s="143">
        <v>-97</v>
      </c>
      <c r="P48" s="143">
        <v>-75</v>
      </c>
      <c r="R48" s="10">
        <v>684</v>
      </c>
      <c r="S48" s="10">
        <v>502</v>
      </c>
    </row>
    <row r="49" spans="1:19" ht="12.75" customHeight="1" x14ac:dyDescent="0.3">
      <c r="A49" t="s">
        <v>20</v>
      </c>
      <c r="B49" s="10">
        <v>737</v>
      </c>
      <c r="C49" s="10">
        <v>436</v>
      </c>
      <c r="D49" s="10">
        <v>20</v>
      </c>
      <c r="E49" s="10">
        <v>0</v>
      </c>
      <c r="F49" s="10">
        <v>41</v>
      </c>
      <c r="G49" s="10">
        <v>40</v>
      </c>
      <c r="H49" s="31">
        <v>0</v>
      </c>
      <c r="I49" s="10">
        <f t="shared" si="4"/>
        <v>537</v>
      </c>
      <c r="J49" s="10">
        <v>528</v>
      </c>
      <c r="K49" s="278">
        <v>0.18870967741935485</v>
      </c>
      <c r="L49" s="279">
        <v>0.13052631578947368</v>
      </c>
      <c r="M49" s="22"/>
      <c r="N49" s="22"/>
      <c r="O49" s="143">
        <v>117</v>
      </c>
      <c r="P49" s="143">
        <v>62</v>
      </c>
      <c r="R49" s="10">
        <v>620</v>
      </c>
      <c r="S49" s="10">
        <v>475</v>
      </c>
    </row>
    <row r="50" spans="1:19" ht="12.75" customHeight="1" x14ac:dyDescent="0.3">
      <c r="A50" t="s">
        <v>21</v>
      </c>
      <c r="B50" s="10">
        <v>492</v>
      </c>
      <c r="C50" s="10">
        <v>292</v>
      </c>
      <c r="D50" s="10">
        <v>4</v>
      </c>
      <c r="E50" s="10">
        <v>0</v>
      </c>
      <c r="F50" s="10">
        <v>20</v>
      </c>
      <c r="G50" s="10">
        <v>57</v>
      </c>
      <c r="H50" s="31">
        <v>0</v>
      </c>
      <c r="I50" s="10">
        <f t="shared" si="4"/>
        <v>373</v>
      </c>
      <c r="J50" s="10">
        <v>373</v>
      </c>
      <c r="K50" s="278">
        <v>-0.21531100478468901</v>
      </c>
      <c r="L50" s="279">
        <v>-0.25697211155378485</v>
      </c>
      <c r="M50" s="22"/>
      <c r="N50" s="22"/>
      <c r="O50" s="143">
        <v>-135</v>
      </c>
      <c r="P50" s="143">
        <v>-129</v>
      </c>
      <c r="R50" s="10">
        <v>627</v>
      </c>
      <c r="S50" s="10">
        <v>502</v>
      </c>
    </row>
    <row r="51" spans="1:19" ht="12.75" customHeight="1" x14ac:dyDescent="0.3">
      <c r="A51" s="4" t="s">
        <v>22</v>
      </c>
      <c r="B51" s="11">
        <v>461</v>
      </c>
      <c r="C51" s="11">
        <v>267</v>
      </c>
      <c r="D51" s="11">
        <v>2</v>
      </c>
      <c r="E51" s="11">
        <v>0</v>
      </c>
      <c r="F51" s="11">
        <v>20</v>
      </c>
      <c r="G51" s="11">
        <v>34</v>
      </c>
      <c r="H51" s="30">
        <v>0</v>
      </c>
      <c r="I51" s="11">
        <f t="shared" si="4"/>
        <v>323</v>
      </c>
      <c r="J51" s="81">
        <v>180</v>
      </c>
      <c r="K51" s="280">
        <v>-0.16636528028933092</v>
      </c>
      <c r="L51" s="281">
        <v>-0.2608695652173913</v>
      </c>
      <c r="M51" s="22"/>
      <c r="N51" s="22"/>
      <c r="O51" s="169">
        <v>-92</v>
      </c>
      <c r="P51" s="169">
        <v>-114</v>
      </c>
      <c r="R51" s="11">
        <v>553</v>
      </c>
      <c r="S51" s="11">
        <v>437</v>
      </c>
    </row>
    <row r="52" spans="1:19" ht="12.75" customHeight="1" x14ac:dyDescent="0.3">
      <c r="A52" s="3" t="s">
        <v>106</v>
      </c>
      <c r="B52" s="8">
        <f t="shared" ref="B52:J52" si="5">SUM(B40:B51)</f>
        <v>8833</v>
      </c>
      <c r="C52" s="8">
        <f t="shared" si="5"/>
        <v>4833</v>
      </c>
      <c r="D52" s="8">
        <f t="shared" si="5"/>
        <v>125</v>
      </c>
      <c r="E52" s="8">
        <f t="shared" si="5"/>
        <v>0</v>
      </c>
      <c r="F52" s="8">
        <f t="shared" si="5"/>
        <v>322</v>
      </c>
      <c r="G52" s="8">
        <f t="shared" si="5"/>
        <v>778</v>
      </c>
      <c r="H52" s="31">
        <f t="shared" si="5"/>
        <v>0</v>
      </c>
      <c r="I52" s="8">
        <f t="shared" si="5"/>
        <v>6058</v>
      </c>
      <c r="J52" s="8">
        <f t="shared" si="5"/>
        <v>3999</v>
      </c>
      <c r="K52" s="282">
        <v>-6.5884094754653136E-2</v>
      </c>
      <c r="L52" s="171">
        <v>-7.3558648111332003E-2</v>
      </c>
      <c r="M52" s="22"/>
      <c r="N52" s="22"/>
      <c r="O52" s="143">
        <v>-623</v>
      </c>
      <c r="P52" s="143">
        <v>-481</v>
      </c>
      <c r="R52" s="99">
        <v>9456</v>
      </c>
      <c r="S52" s="99">
        <v>6539</v>
      </c>
    </row>
    <row r="53" spans="1:19" ht="12.75" customHeight="1" x14ac:dyDescent="0.3">
      <c r="A53" s="5" t="s">
        <v>93</v>
      </c>
      <c r="B53" s="9">
        <v>9456</v>
      </c>
      <c r="C53" s="9">
        <v>5266</v>
      </c>
      <c r="D53" s="9">
        <v>153</v>
      </c>
      <c r="E53" s="9">
        <v>2</v>
      </c>
      <c r="F53" s="9">
        <v>267</v>
      </c>
      <c r="G53" s="9">
        <v>851</v>
      </c>
      <c r="H53" s="9">
        <v>0</v>
      </c>
      <c r="I53" s="9">
        <v>6539</v>
      </c>
      <c r="J53" s="9">
        <v>3690</v>
      </c>
      <c r="K53" s="9">
        <v>3.9577836411609502E-2</v>
      </c>
      <c r="L53" s="157">
        <v>4.4568690095846644E-2</v>
      </c>
    </row>
    <row r="54" spans="1:19" ht="12.75" customHeight="1" x14ac:dyDescent="0.3">
      <c r="A54" s="5" t="s">
        <v>23</v>
      </c>
      <c r="B54" s="9">
        <f t="shared" ref="B54:J54" si="6">B52-B53</f>
        <v>-623</v>
      </c>
      <c r="C54" s="9">
        <f t="shared" si="6"/>
        <v>-433</v>
      </c>
      <c r="D54" s="9">
        <f t="shared" si="6"/>
        <v>-28</v>
      </c>
      <c r="E54" s="9">
        <f t="shared" si="6"/>
        <v>-2</v>
      </c>
      <c r="F54" s="9">
        <f t="shared" si="6"/>
        <v>55</v>
      </c>
      <c r="G54" s="9">
        <f t="shared" si="6"/>
        <v>-73</v>
      </c>
      <c r="H54" s="30">
        <f t="shared" si="6"/>
        <v>0</v>
      </c>
      <c r="I54" s="9">
        <f t="shared" si="6"/>
        <v>-481</v>
      </c>
      <c r="J54" s="9">
        <f t="shared" si="6"/>
        <v>309</v>
      </c>
      <c r="K54" s="48"/>
      <c r="L54" s="158"/>
      <c r="R54" s="22"/>
    </row>
    <row r="55" spans="1:19" ht="12.75" customHeight="1" x14ac:dyDescent="0.25"/>
    <row r="57" spans="1:19" ht="12.75" customHeight="1" x14ac:dyDescent="0.25">
      <c r="B57" s="332"/>
      <c r="C57" s="333"/>
      <c r="D57" s="333"/>
      <c r="E57" s="333"/>
      <c r="F57" s="334"/>
    </row>
    <row r="58" spans="1:19" ht="18" x14ac:dyDescent="0.25">
      <c r="B58" s="25"/>
      <c r="C58" s="335" t="s">
        <v>133</v>
      </c>
      <c r="F58" s="337"/>
    </row>
    <row r="59" spans="1:19" ht="12.75" customHeight="1" x14ac:dyDescent="0.25">
      <c r="B59" s="86"/>
      <c r="C59" s="4"/>
      <c r="D59" s="4"/>
      <c r="E59" s="4"/>
      <c r="F59" s="97"/>
    </row>
    <row r="60" spans="1:19" ht="12.75" customHeight="1" x14ac:dyDescent="0.25"/>
    <row r="61" spans="1:19" ht="12.75" customHeight="1" x14ac:dyDescent="0.3">
      <c r="A61" s="1" t="s">
        <v>0</v>
      </c>
      <c r="B61" s="2" t="s">
        <v>1</v>
      </c>
      <c r="C61" s="2" t="s">
        <v>2</v>
      </c>
      <c r="D61" s="2" t="s">
        <v>3</v>
      </c>
      <c r="E61" s="2" t="s">
        <v>4</v>
      </c>
      <c r="F61" s="2" t="s">
        <v>5</v>
      </c>
      <c r="G61" s="2" t="s">
        <v>6</v>
      </c>
      <c r="H61" s="32" t="s">
        <v>7</v>
      </c>
      <c r="I61" s="1" t="s">
        <v>8</v>
      </c>
      <c r="J61" s="2" t="s">
        <v>10</v>
      </c>
      <c r="K61" s="2" t="s">
        <v>1</v>
      </c>
      <c r="L61" s="2" t="s">
        <v>9</v>
      </c>
      <c r="O61" s="275" t="s">
        <v>129</v>
      </c>
      <c r="P61" s="275" t="s">
        <v>130</v>
      </c>
      <c r="Q61" s="164"/>
      <c r="R61" s="275" t="s">
        <v>103</v>
      </c>
      <c r="S61" s="275" t="s">
        <v>104</v>
      </c>
    </row>
    <row r="62" spans="1:19" ht="12.75" customHeight="1" x14ac:dyDescent="0.3">
      <c r="A62" t="s">
        <v>11</v>
      </c>
      <c r="B62" s="10">
        <v>302</v>
      </c>
      <c r="C62" s="10">
        <v>199</v>
      </c>
      <c r="D62" s="10">
        <v>2</v>
      </c>
      <c r="E62" s="10">
        <v>0</v>
      </c>
      <c r="F62" s="10">
        <v>32</v>
      </c>
      <c r="G62" s="10">
        <v>12</v>
      </c>
      <c r="H62" s="31">
        <v>0</v>
      </c>
      <c r="I62" s="10">
        <f>SUM(C62:G62)</f>
        <v>245</v>
      </c>
      <c r="J62" s="10">
        <v>276</v>
      </c>
      <c r="K62" s="276">
        <f t="shared" ref="K62:L74" si="7">O62/R62</f>
        <v>-0.24875621890547264</v>
      </c>
      <c r="L62" s="277">
        <f t="shared" si="7"/>
        <v>-0.26204819277108432</v>
      </c>
      <c r="O62" s="143">
        <f t="shared" ref="O62:O73" si="8">B62-R62</f>
        <v>-100</v>
      </c>
      <c r="P62" s="143">
        <f>I62-S62</f>
        <v>-87</v>
      </c>
      <c r="R62" s="10">
        <v>402</v>
      </c>
      <c r="S62" s="10">
        <v>332</v>
      </c>
    </row>
    <row r="63" spans="1:19" ht="12.75" customHeight="1" x14ac:dyDescent="0.3">
      <c r="A63" t="s">
        <v>12</v>
      </c>
      <c r="B63" s="10">
        <v>282</v>
      </c>
      <c r="C63" s="10">
        <v>154</v>
      </c>
      <c r="D63" s="10">
        <v>2</v>
      </c>
      <c r="E63" s="10">
        <v>0</v>
      </c>
      <c r="F63" s="10">
        <v>37</v>
      </c>
      <c r="G63" s="10">
        <v>24</v>
      </c>
      <c r="H63" s="31">
        <v>0</v>
      </c>
      <c r="I63" s="10">
        <f t="shared" ref="I63:I73" si="9">SUM(C63:G63)</f>
        <v>217</v>
      </c>
      <c r="J63" s="10">
        <v>316</v>
      </c>
      <c r="K63" s="278">
        <f t="shared" si="7"/>
        <v>-0.3155339805825243</v>
      </c>
      <c r="L63" s="279">
        <f t="shared" si="7"/>
        <v>-0.32187500000000002</v>
      </c>
      <c r="O63" s="143">
        <f t="shared" si="8"/>
        <v>-130</v>
      </c>
      <c r="P63" s="143">
        <f>I63-S63</f>
        <v>-103</v>
      </c>
      <c r="R63" s="10">
        <v>412</v>
      </c>
      <c r="S63" s="10">
        <v>320</v>
      </c>
    </row>
    <row r="64" spans="1:19" ht="12.75" customHeight="1" x14ac:dyDescent="0.3">
      <c r="A64" t="s">
        <v>13</v>
      </c>
      <c r="B64" s="10">
        <v>392</v>
      </c>
      <c r="C64" s="10">
        <v>232</v>
      </c>
      <c r="D64" s="10">
        <v>10</v>
      </c>
      <c r="E64" s="10">
        <v>0</v>
      </c>
      <c r="F64" s="10">
        <v>24</v>
      </c>
      <c r="G64" s="10">
        <v>34</v>
      </c>
      <c r="H64" s="31">
        <v>0</v>
      </c>
      <c r="I64" s="10">
        <f t="shared" si="9"/>
        <v>300</v>
      </c>
      <c r="J64" s="10">
        <v>292</v>
      </c>
      <c r="K64" s="278">
        <f t="shared" si="7"/>
        <v>-0.18162839248434237</v>
      </c>
      <c r="L64" s="279">
        <f t="shared" si="7"/>
        <v>-0.21052631578947367</v>
      </c>
      <c r="O64" s="143">
        <f t="shared" si="8"/>
        <v>-87</v>
      </c>
      <c r="P64" s="143">
        <f>I64-S64</f>
        <v>-80</v>
      </c>
      <c r="R64" s="10">
        <v>479</v>
      </c>
      <c r="S64" s="10">
        <v>380</v>
      </c>
    </row>
    <row r="65" spans="1:19" ht="12.75" customHeight="1" x14ac:dyDescent="0.3">
      <c r="A65" t="s">
        <v>14</v>
      </c>
      <c r="B65" s="10">
        <v>571</v>
      </c>
      <c r="C65" s="10">
        <v>332</v>
      </c>
      <c r="D65" s="10">
        <v>8</v>
      </c>
      <c r="E65" s="10">
        <v>0</v>
      </c>
      <c r="F65" s="10">
        <v>22</v>
      </c>
      <c r="G65" s="10">
        <v>46</v>
      </c>
      <c r="H65" s="31">
        <v>0</v>
      </c>
      <c r="I65" s="10">
        <f t="shared" si="9"/>
        <v>408</v>
      </c>
      <c r="J65" s="10">
        <v>256</v>
      </c>
      <c r="K65" s="278">
        <f t="shared" si="7"/>
        <v>3.6297640653357534E-2</v>
      </c>
      <c r="L65" s="279">
        <f t="shared" si="7"/>
        <v>-0.10526315789473684</v>
      </c>
      <c r="O65" s="143">
        <f t="shared" si="8"/>
        <v>20</v>
      </c>
      <c r="P65" s="143">
        <f t="shared" ref="P65:P73" si="10">I65-S65</f>
        <v>-48</v>
      </c>
      <c r="R65" s="10">
        <v>551</v>
      </c>
      <c r="S65" s="10">
        <v>456</v>
      </c>
    </row>
    <row r="66" spans="1:19" ht="12.75" customHeight="1" x14ac:dyDescent="0.3">
      <c r="A66" t="s">
        <v>15</v>
      </c>
      <c r="B66" s="10">
        <v>715</v>
      </c>
      <c r="C66" s="10">
        <v>418</v>
      </c>
      <c r="D66" s="10">
        <v>16</v>
      </c>
      <c r="E66" s="10">
        <v>0</v>
      </c>
      <c r="F66" s="10">
        <v>25</v>
      </c>
      <c r="G66" s="10">
        <v>56</v>
      </c>
      <c r="H66" s="31">
        <v>0</v>
      </c>
      <c r="I66" s="10">
        <f t="shared" si="9"/>
        <v>515</v>
      </c>
      <c r="J66" s="10">
        <v>360</v>
      </c>
      <c r="K66" s="278">
        <f t="shared" si="7"/>
        <v>-0.16763678696158324</v>
      </c>
      <c r="L66" s="279">
        <f t="shared" si="7"/>
        <v>-0.16260162601626016</v>
      </c>
      <c r="O66" s="143">
        <f t="shared" si="8"/>
        <v>-144</v>
      </c>
      <c r="P66" s="143">
        <f t="shared" si="10"/>
        <v>-100</v>
      </c>
      <c r="R66" s="10">
        <v>859</v>
      </c>
      <c r="S66" s="10">
        <v>615</v>
      </c>
    </row>
    <row r="67" spans="1:19" ht="12.75" customHeight="1" x14ac:dyDescent="0.3">
      <c r="A67" t="s">
        <v>16</v>
      </c>
      <c r="B67" s="10">
        <v>1221</v>
      </c>
      <c r="C67" s="10">
        <v>625</v>
      </c>
      <c r="D67" s="10">
        <v>6</v>
      </c>
      <c r="E67" s="10">
        <v>2</v>
      </c>
      <c r="F67" s="10">
        <v>48</v>
      </c>
      <c r="G67" s="10">
        <v>145</v>
      </c>
      <c r="H67" s="31">
        <v>0</v>
      </c>
      <c r="I67" s="10">
        <f t="shared" si="9"/>
        <v>826</v>
      </c>
      <c r="J67" s="10">
        <v>468</v>
      </c>
      <c r="K67" s="278">
        <f t="shared" si="7"/>
        <v>0.20533070088845015</v>
      </c>
      <c r="L67" s="279">
        <f t="shared" si="7"/>
        <v>0.34967320261437906</v>
      </c>
      <c r="O67" s="143">
        <f t="shared" si="8"/>
        <v>208</v>
      </c>
      <c r="P67" s="143">
        <f t="shared" si="10"/>
        <v>214</v>
      </c>
      <c r="R67" s="10">
        <v>1013</v>
      </c>
      <c r="S67" s="10">
        <v>612</v>
      </c>
    </row>
    <row r="68" spans="1:19" ht="12.75" customHeight="1" x14ac:dyDescent="0.3">
      <c r="A68" t="s">
        <v>17</v>
      </c>
      <c r="B68" s="10">
        <v>1795</v>
      </c>
      <c r="C68" s="10">
        <v>778</v>
      </c>
      <c r="D68" s="10">
        <v>10</v>
      </c>
      <c r="E68" s="10">
        <v>0</v>
      </c>
      <c r="F68" s="10">
        <v>6</v>
      </c>
      <c r="G68" s="10">
        <v>241</v>
      </c>
      <c r="H68" s="31">
        <v>0</v>
      </c>
      <c r="I68" s="10">
        <f t="shared" si="9"/>
        <v>1035</v>
      </c>
      <c r="J68" s="10">
        <v>148</v>
      </c>
      <c r="K68" s="278">
        <f t="shared" si="7"/>
        <v>0.10870907967881409</v>
      </c>
      <c r="L68" s="279">
        <f t="shared" si="7"/>
        <v>0.12012987012987013</v>
      </c>
      <c r="O68" s="143">
        <f t="shared" si="8"/>
        <v>176</v>
      </c>
      <c r="P68" s="143">
        <f t="shared" si="10"/>
        <v>111</v>
      </c>
      <c r="R68" s="10">
        <v>1619</v>
      </c>
      <c r="S68" s="10">
        <v>924</v>
      </c>
    </row>
    <row r="69" spans="1:19" ht="12.75" customHeight="1" x14ac:dyDescent="0.3">
      <c r="A69" t="s">
        <v>18</v>
      </c>
      <c r="B69" s="10">
        <v>973</v>
      </c>
      <c r="C69" s="10">
        <v>437</v>
      </c>
      <c r="D69" s="10">
        <v>11</v>
      </c>
      <c r="E69" s="10">
        <v>0</v>
      </c>
      <c r="F69" s="10">
        <v>41</v>
      </c>
      <c r="G69" s="10">
        <v>131</v>
      </c>
      <c r="H69" s="31">
        <v>0</v>
      </c>
      <c r="I69" s="10">
        <f t="shared" si="9"/>
        <v>620</v>
      </c>
      <c r="J69" s="10">
        <v>438</v>
      </c>
      <c r="K69" s="278">
        <f t="shared" si="7"/>
        <v>-0.2031122031122031</v>
      </c>
      <c r="L69" s="279">
        <f t="shared" si="7"/>
        <v>-0.1831357048748353</v>
      </c>
      <c r="O69" s="143">
        <f t="shared" si="8"/>
        <v>-248</v>
      </c>
      <c r="P69" s="143">
        <f t="shared" si="10"/>
        <v>-139</v>
      </c>
      <c r="R69" s="10">
        <v>1221</v>
      </c>
      <c r="S69" s="10">
        <v>759</v>
      </c>
    </row>
    <row r="70" spans="1:19" ht="12.75" customHeight="1" x14ac:dyDescent="0.3">
      <c r="A70" t="s">
        <v>19</v>
      </c>
      <c r="B70" s="10">
        <v>613</v>
      </c>
      <c r="C70" s="10">
        <v>334</v>
      </c>
      <c r="D70" s="10">
        <v>4</v>
      </c>
      <c r="E70" s="10">
        <v>0</v>
      </c>
      <c r="F70" s="10">
        <v>28</v>
      </c>
      <c r="G70" s="10">
        <v>64</v>
      </c>
      <c r="H70" s="31">
        <v>0</v>
      </c>
      <c r="I70" s="10">
        <f t="shared" si="9"/>
        <v>430</v>
      </c>
      <c r="J70" s="10">
        <v>264</v>
      </c>
      <c r="K70" s="278">
        <f t="shared" si="7"/>
        <v>4.4293015332197615E-2</v>
      </c>
      <c r="L70" s="279">
        <f t="shared" si="7"/>
        <v>7.0257611241217799E-3</v>
      </c>
      <c r="O70" s="143">
        <f t="shared" si="8"/>
        <v>26</v>
      </c>
      <c r="P70" s="143">
        <f t="shared" si="10"/>
        <v>3</v>
      </c>
      <c r="R70" s="10">
        <v>587</v>
      </c>
      <c r="S70" s="10">
        <v>427</v>
      </c>
    </row>
    <row r="71" spans="1:19" ht="12.75" customHeight="1" x14ac:dyDescent="0.3">
      <c r="A71" t="s">
        <v>20</v>
      </c>
      <c r="B71" s="10">
        <v>628</v>
      </c>
      <c r="C71" s="10">
        <v>387</v>
      </c>
      <c r="D71" s="10">
        <v>6</v>
      </c>
      <c r="E71" s="10">
        <v>0</v>
      </c>
      <c r="F71" s="10">
        <v>10</v>
      </c>
      <c r="G71" s="10">
        <v>37</v>
      </c>
      <c r="H71" s="31">
        <v>0</v>
      </c>
      <c r="I71" s="10">
        <f t="shared" si="9"/>
        <v>440</v>
      </c>
      <c r="J71" s="10">
        <v>140</v>
      </c>
      <c r="K71" s="278">
        <f t="shared" si="7"/>
        <v>-0.14789687924016282</v>
      </c>
      <c r="L71" s="279">
        <f t="shared" si="7"/>
        <v>-0.18063314711359404</v>
      </c>
      <c r="O71" s="143">
        <f t="shared" si="8"/>
        <v>-109</v>
      </c>
      <c r="P71" s="143">
        <f t="shared" si="10"/>
        <v>-97</v>
      </c>
      <c r="R71" s="10">
        <v>737</v>
      </c>
      <c r="S71" s="10">
        <v>537</v>
      </c>
    </row>
    <row r="72" spans="1:19" ht="12.75" customHeight="1" x14ac:dyDescent="0.3">
      <c r="A72" t="s">
        <v>21</v>
      </c>
      <c r="B72" s="10">
        <v>441</v>
      </c>
      <c r="C72" s="10">
        <v>259</v>
      </c>
      <c r="D72" s="10">
        <v>6</v>
      </c>
      <c r="E72" s="10">
        <v>0</v>
      </c>
      <c r="F72" s="10">
        <v>8</v>
      </c>
      <c r="G72" s="10">
        <v>12</v>
      </c>
      <c r="H72" s="31">
        <v>0</v>
      </c>
      <c r="I72" s="10">
        <f t="shared" si="9"/>
        <v>285</v>
      </c>
      <c r="J72" s="10">
        <v>124</v>
      </c>
      <c r="K72" s="278">
        <f t="shared" si="7"/>
        <v>-0.10365853658536585</v>
      </c>
      <c r="L72" s="279">
        <f t="shared" si="7"/>
        <v>-0.2359249329758713</v>
      </c>
      <c r="O72" s="143">
        <f t="shared" si="8"/>
        <v>-51</v>
      </c>
      <c r="P72" s="143">
        <f t="shared" si="10"/>
        <v>-88</v>
      </c>
      <c r="R72" s="10">
        <v>492</v>
      </c>
      <c r="S72" s="10">
        <v>373</v>
      </c>
    </row>
    <row r="73" spans="1:19" ht="12.75" customHeight="1" x14ac:dyDescent="0.3">
      <c r="A73" s="4" t="s">
        <v>22</v>
      </c>
      <c r="B73" s="11">
        <v>386</v>
      </c>
      <c r="C73" s="11">
        <v>245</v>
      </c>
      <c r="D73" s="11">
        <v>2</v>
      </c>
      <c r="E73" s="11">
        <v>0</v>
      </c>
      <c r="F73" s="11">
        <v>4</v>
      </c>
      <c r="G73" s="11">
        <v>13</v>
      </c>
      <c r="H73" s="30">
        <v>0</v>
      </c>
      <c r="I73" s="11">
        <f t="shared" si="9"/>
        <v>264</v>
      </c>
      <c r="J73" s="81">
        <v>52</v>
      </c>
      <c r="K73" s="280">
        <f t="shared" si="7"/>
        <v>-0.16268980477223427</v>
      </c>
      <c r="L73" s="281">
        <f t="shared" si="7"/>
        <v>-0.1826625386996904</v>
      </c>
      <c r="O73" s="169">
        <f t="shared" si="8"/>
        <v>-75</v>
      </c>
      <c r="P73" s="169">
        <f t="shared" si="10"/>
        <v>-59</v>
      </c>
      <c r="R73" s="11">
        <v>461</v>
      </c>
      <c r="S73" s="11">
        <v>323</v>
      </c>
    </row>
    <row r="74" spans="1:19" ht="12.75" customHeight="1" x14ac:dyDescent="0.3">
      <c r="A74" s="3" t="s">
        <v>131</v>
      </c>
      <c r="B74" s="8">
        <f t="shared" ref="B74:J74" si="11">SUM(B62:B73)</f>
        <v>8319</v>
      </c>
      <c r="C74" s="8">
        <f t="shared" si="11"/>
        <v>4400</v>
      </c>
      <c r="D74" s="8">
        <f t="shared" si="11"/>
        <v>83</v>
      </c>
      <c r="E74" s="8">
        <f t="shared" si="11"/>
        <v>2</v>
      </c>
      <c r="F74" s="8">
        <f t="shared" si="11"/>
        <v>285</v>
      </c>
      <c r="G74" s="8">
        <f t="shared" si="11"/>
        <v>815</v>
      </c>
      <c r="H74" s="31">
        <f t="shared" si="11"/>
        <v>0</v>
      </c>
      <c r="I74" s="8">
        <f t="shared" si="11"/>
        <v>5585</v>
      </c>
      <c r="J74" s="8">
        <f t="shared" si="11"/>
        <v>3134</v>
      </c>
      <c r="K74" s="282">
        <f t="shared" si="7"/>
        <v>-5.8190875127363297E-2</v>
      </c>
      <c r="L74" s="171">
        <f t="shared" si="7"/>
        <v>-7.8078573786728292E-2</v>
      </c>
      <c r="O74" s="143">
        <f>SUM(O62:O73)</f>
        <v>-514</v>
      </c>
      <c r="P74" s="143">
        <f>SUM(P62:P73)</f>
        <v>-473</v>
      </c>
      <c r="R74" s="99">
        <f>SUM(R62:R73)</f>
        <v>8833</v>
      </c>
      <c r="S74" s="99">
        <f>SUM(S62:S73)</f>
        <v>6058</v>
      </c>
    </row>
    <row r="75" spans="1:19" ht="12.75" customHeight="1" x14ac:dyDescent="0.3">
      <c r="A75" s="5" t="s">
        <v>106</v>
      </c>
      <c r="B75" s="9">
        <v>9456</v>
      </c>
      <c r="C75" s="9">
        <v>5266</v>
      </c>
      <c r="D75" s="9">
        <v>153</v>
      </c>
      <c r="E75" s="9">
        <v>2</v>
      </c>
      <c r="F75" s="9">
        <v>267</v>
      </c>
      <c r="G75" s="9">
        <v>851</v>
      </c>
      <c r="H75" s="9">
        <v>0</v>
      </c>
      <c r="I75" s="9">
        <v>6539</v>
      </c>
      <c r="J75" s="9">
        <v>3690</v>
      </c>
      <c r="K75" s="9">
        <v>3.9577836411609502E-2</v>
      </c>
      <c r="L75" s="157">
        <v>4.4568690095846644E-2</v>
      </c>
    </row>
    <row r="76" spans="1:19" ht="12.75" customHeight="1" x14ac:dyDescent="0.3">
      <c r="A76" s="5" t="s">
        <v>23</v>
      </c>
      <c r="B76" s="9">
        <f t="shared" ref="B76:J76" si="12">B74-B75</f>
        <v>-1137</v>
      </c>
      <c r="C76" s="9">
        <f t="shared" si="12"/>
        <v>-866</v>
      </c>
      <c r="D76" s="9">
        <f t="shared" si="12"/>
        <v>-70</v>
      </c>
      <c r="E76" s="9">
        <f t="shared" si="12"/>
        <v>0</v>
      </c>
      <c r="F76" s="9">
        <f t="shared" si="12"/>
        <v>18</v>
      </c>
      <c r="G76" s="9">
        <f t="shared" si="12"/>
        <v>-36</v>
      </c>
      <c r="H76" s="30">
        <f t="shared" si="12"/>
        <v>0</v>
      </c>
      <c r="I76" s="9">
        <f t="shared" si="12"/>
        <v>-954</v>
      </c>
      <c r="J76" s="9">
        <f t="shared" si="12"/>
        <v>-556</v>
      </c>
      <c r="K76" s="48"/>
      <c r="L76" s="158"/>
    </row>
    <row r="77" spans="1:19" ht="12.75" customHeight="1" x14ac:dyDescent="0.25"/>
    <row r="78" spans="1:19" ht="12.75" customHeight="1" x14ac:dyDescent="0.25"/>
    <row r="79" spans="1:19" x14ac:dyDescent="0.25">
      <c r="B79" s="332"/>
      <c r="C79" s="333"/>
      <c r="D79" s="333"/>
      <c r="E79" s="333"/>
      <c r="F79" s="334"/>
    </row>
    <row r="80" spans="1:19" ht="18" x14ac:dyDescent="0.25">
      <c r="B80" s="25"/>
      <c r="C80" s="335" t="s">
        <v>134</v>
      </c>
      <c r="F80" s="337"/>
    </row>
    <row r="81" spans="1:19" ht="12.75" customHeight="1" x14ac:dyDescent="0.25">
      <c r="B81" s="86"/>
      <c r="C81" s="4"/>
      <c r="D81" s="4"/>
      <c r="E81" s="4"/>
      <c r="F81" s="97"/>
    </row>
    <row r="82" spans="1:19" ht="12.75" customHeight="1" x14ac:dyDescent="0.25"/>
    <row r="83" spans="1:19" ht="12.75" customHeight="1" x14ac:dyDescent="0.3">
      <c r="A83" s="1" t="s">
        <v>0</v>
      </c>
      <c r="B83" s="2" t="s">
        <v>1</v>
      </c>
      <c r="C83" s="2" t="s">
        <v>2</v>
      </c>
      <c r="D83" s="2" t="s">
        <v>3</v>
      </c>
      <c r="E83" s="2" t="s">
        <v>4</v>
      </c>
      <c r="F83" s="2" t="s">
        <v>5</v>
      </c>
      <c r="G83" s="2" t="s">
        <v>6</v>
      </c>
      <c r="H83" s="32" t="s">
        <v>7</v>
      </c>
      <c r="I83" s="1" t="s">
        <v>8</v>
      </c>
      <c r="J83" s="2" t="s">
        <v>10</v>
      </c>
      <c r="K83" s="2" t="s">
        <v>1</v>
      </c>
      <c r="L83" s="2" t="s">
        <v>9</v>
      </c>
      <c r="O83" s="275" t="s">
        <v>135</v>
      </c>
      <c r="P83" s="275" t="s">
        <v>136</v>
      </c>
      <c r="R83" s="275" t="s">
        <v>129</v>
      </c>
      <c r="S83" s="275" t="s">
        <v>130</v>
      </c>
    </row>
    <row r="84" spans="1:19" ht="12.75" customHeight="1" x14ac:dyDescent="0.3">
      <c r="A84" t="s">
        <v>11</v>
      </c>
      <c r="B84" s="10">
        <v>323</v>
      </c>
      <c r="C84" s="10">
        <v>200</v>
      </c>
      <c r="D84" s="10">
        <v>2</v>
      </c>
      <c r="E84" s="10">
        <v>0</v>
      </c>
      <c r="F84" s="10">
        <v>6</v>
      </c>
      <c r="G84" s="10">
        <v>17</v>
      </c>
      <c r="H84" s="31">
        <v>0</v>
      </c>
      <c r="I84" s="10">
        <f>SUM(C84:G84)</f>
        <v>225</v>
      </c>
      <c r="J84" s="10">
        <v>68</v>
      </c>
      <c r="K84" s="276">
        <f t="shared" ref="K84:L96" si="13">O84/R84</f>
        <v>6.9536423841059597E-2</v>
      </c>
      <c r="L84" s="277">
        <f t="shared" si="13"/>
        <v>-8.1632653061224483E-2</v>
      </c>
      <c r="O84" s="143">
        <f t="shared" ref="O84:O95" si="14">B84-R84</f>
        <v>21</v>
      </c>
      <c r="P84" s="143">
        <f>I84-S84</f>
        <v>-20</v>
      </c>
      <c r="R84" s="10">
        <v>302</v>
      </c>
      <c r="S84" s="10">
        <v>245</v>
      </c>
    </row>
    <row r="85" spans="1:19" ht="12.75" customHeight="1" x14ac:dyDescent="0.3">
      <c r="A85" t="s">
        <v>12</v>
      </c>
      <c r="B85" s="10">
        <v>282</v>
      </c>
      <c r="C85" s="10">
        <v>168</v>
      </c>
      <c r="D85" s="10">
        <v>9</v>
      </c>
      <c r="E85" s="10">
        <v>0</v>
      </c>
      <c r="F85" s="10">
        <v>14</v>
      </c>
      <c r="G85" s="10">
        <v>15</v>
      </c>
      <c r="H85" s="31">
        <v>0</v>
      </c>
      <c r="I85" s="10">
        <f t="shared" ref="I85:I95" si="15">SUM(C85:G85)</f>
        <v>206</v>
      </c>
      <c r="J85" s="10">
        <v>202</v>
      </c>
      <c r="K85" s="278">
        <f t="shared" si="13"/>
        <v>0</v>
      </c>
      <c r="L85" s="279">
        <f t="shared" si="13"/>
        <v>-5.0691244239631339E-2</v>
      </c>
      <c r="O85" s="143">
        <f t="shared" si="14"/>
        <v>0</v>
      </c>
      <c r="P85" s="143">
        <f>I85-S85</f>
        <v>-11</v>
      </c>
      <c r="R85" s="10">
        <v>282</v>
      </c>
      <c r="S85" s="10">
        <v>217</v>
      </c>
    </row>
    <row r="86" spans="1:19" ht="12.75" customHeight="1" x14ac:dyDescent="0.3">
      <c r="A86" t="s">
        <v>13</v>
      </c>
      <c r="B86" s="10">
        <v>275</v>
      </c>
      <c r="C86" s="10">
        <v>170</v>
      </c>
      <c r="D86" s="10">
        <v>2</v>
      </c>
      <c r="E86" s="10">
        <v>0</v>
      </c>
      <c r="F86" s="10">
        <v>4</v>
      </c>
      <c r="G86" s="10">
        <v>6</v>
      </c>
      <c r="H86" s="31">
        <v>0</v>
      </c>
      <c r="I86" s="10">
        <f t="shared" si="15"/>
        <v>182</v>
      </c>
      <c r="J86" s="10">
        <v>182</v>
      </c>
      <c r="K86" s="278">
        <f t="shared" si="13"/>
        <v>-0.29846938775510207</v>
      </c>
      <c r="L86" s="279">
        <f t="shared" si="13"/>
        <v>-0.39333333333333331</v>
      </c>
      <c r="O86" s="143">
        <f t="shared" si="14"/>
        <v>-117</v>
      </c>
      <c r="P86" s="143">
        <f>I86-S86</f>
        <v>-118</v>
      </c>
      <c r="R86" s="10">
        <v>392</v>
      </c>
      <c r="S86" s="10">
        <v>300</v>
      </c>
    </row>
    <row r="87" spans="1:19" ht="12.75" customHeight="1" x14ac:dyDescent="0.3">
      <c r="A87" t="s">
        <v>14</v>
      </c>
      <c r="B87" s="10">
        <v>350</v>
      </c>
      <c r="C87" s="10">
        <v>197</v>
      </c>
      <c r="D87" s="10">
        <v>4</v>
      </c>
      <c r="E87" s="10">
        <v>0</v>
      </c>
      <c r="F87" s="10">
        <v>17</v>
      </c>
      <c r="G87" s="10">
        <v>35</v>
      </c>
      <c r="H87" s="31">
        <v>0</v>
      </c>
      <c r="I87" s="10">
        <f t="shared" si="15"/>
        <v>253</v>
      </c>
      <c r="J87" s="10">
        <v>175</v>
      </c>
      <c r="K87" s="278">
        <f t="shared" si="13"/>
        <v>-0.38704028021015763</v>
      </c>
      <c r="L87" s="279">
        <f t="shared" si="13"/>
        <v>-0.37990196078431371</v>
      </c>
      <c r="O87" s="143">
        <f t="shared" si="14"/>
        <v>-221</v>
      </c>
      <c r="P87" s="143">
        <f t="shared" ref="P87:P95" si="16">I87-S87</f>
        <v>-155</v>
      </c>
      <c r="R87" s="10">
        <v>571</v>
      </c>
      <c r="S87" s="10">
        <v>408</v>
      </c>
    </row>
    <row r="88" spans="1:19" ht="12.75" customHeight="1" x14ac:dyDescent="0.3">
      <c r="A88" t="s">
        <v>15</v>
      </c>
      <c r="B88" s="10">
        <v>348</v>
      </c>
      <c r="C88" s="10">
        <v>213</v>
      </c>
      <c r="D88" s="10">
        <v>8</v>
      </c>
      <c r="E88" s="10">
        <v>0</v>
      </c>
      <c r="F88" s="10">
        <v>18</v>
      </c>
      <c r="G88" s="10">
        <v>24</v>
      </c>
      <c r="H88" s="31">
        <v>0</v>
      </c>
      <c r="I88" s="10">
        <f t="shared" si="15"/>
        <v>263</v>
      </c>
      <c r="J88" s="10">
        <v>224</v>
      </c>
      <c r="K88" s="278">
        <f t="shared" si="13"/>
        <v>-0.51328671328671327</v>
      </c>
      <c r="L88" s="279">
        <f t="shared" si="13"/>
        <v>-0.48932038834951458</v>
      </c>
      <c r="O88" s="143">
        <f t="shared" si="14"/>
        <v>-367</v>
      </c>
      <c r="P88" s="143">
        <f t="shared" si="16"/>
        <v>-252</v>
      </c>
      <c r="R88" s="10">
        <v>715</v>
      </c>
      <c r="S88" s="10">
        <v>515</v>
      </c>
    </row>
    <row r="89" spans="1:19" ht="12.75" customHeight="1" x14ac:dyDescent="0.3">
      <c r="A89" t="s">
        <v>16</v>
      </c>
      <c r="B89" s="10">
        <v>709</v>
      </c>
      <c r="C89" s="10">
        <v>345</v>
      </c>
      <c r="D89" s="10">
        <v>8</v>
      </c>
      <c r="E89" s="10">
        <v>0</v>
      </c>
      <c r="F89" s="10">
        <v>20</v>
      </c>
      <c r="G89" s="10">
        <v>127</v>
      </c>
      <c r="H89" s="31">
        <v>0</v>
      </c>
      <c r="I89" s="10">
        <f t="shared" si="15"/>
        <v>500</v>
      </c>
      <c r="J89" s="10">
        <v>240</v>
      </c>
      <c r="K89" s="278">
        <f t="shared" si="13"/>
        <v>-0.41932841932841936</v>
      </c>
      <c r="L89" s="279">
        <f t="shared" si="13"/>
        <v>-0.39467312348668282</v>
      </c>
      <c r="O89" s="143">
        <f t="shared" si="14"/>
        <v>-512</v>
      </c>
      <c r="P89" s="143">
        <f t="shared" si="16"/>
        <v>-326</v>
      </c>
      <c r="R89" s="10">
        <v>1221</v>
      </c>
      <c r="S89" s="10">
        <v>826</v>
      </c>
    </row>
    <row r="90" spans="1:19" ht="12.75" customHeight="1" x14ac:dyDescent="0.3">
      <c r="A90" t="s">
        <v>17</v>
      </c>
      <c r="B90" s="10">
        <v>1215</v>
      </c>
      <c r="C90" s="10">
        <v>524</v>
      </c>
      <c r="D90" s="10">
        <v>14</v>
      </c>
      <c r="E90" s="10">
        <v>0</v>
      </c>
      <c r="F90" s="10">
        <v>29</v>
      </c>
      <c r="G90" s="10">
        <v>194</v>
      </c>
      <c r="H90" s="31">
        <v>0</v>
      </c>
      <c r="I90" s="10">
        <f t="shared" si="15"/>
        <v>761</v>
      </c>
      <c r="J90" s="10">
        <v>374</v>
      </c>
      <c r="K90" s="278">
        <f t="shared" si="13"/>
        <v>-0.32311977715877438</v>
      </c>
      <c r="L90" s="279">
        <f t="shared" si="13"/>
        <v>-0.26473429951690819</v>
      </c>
      <c r="O90" s="143">
        <f t="shared" si="14"/>
        <v>-580</v>
      </c>
      <c r="P90" s="143">
        <f t="shared" si="16"/>
        <v>-274</v>
      </c>
      <c r="R90" s="10">
        <v>1795</v>
      </c>
      <c r="S90" s="10">
        <v>1035</v>
      </c>
    </row>
    <row r="91" spans="1:19" ht="12.75" customHeight="1" x14ac:dyDescent="0.3">
      <c r="A91" t="s">
        <v>18</v>
      </c>
      <c r="B91" s="10"/>
      <c r="C91" s="10"/>
      <c r="D91" s="10"/>
      <c r="E91" s="10"/>
      <c r="F91" s="10"/>
      <c r="G91" s="10"/>
      <c r="H91" s="31"/>
      <c r="I91" s="10">
        <f t="shared" si="15"/>
        <v>0</v>
      </c>
      <c r="J91" s="10"/>
      <c r="K91" s="278">
        <f t="shared" si="13"/>
        <v>-1</v>
      </c>
      <c r="L91" s="279">
        <f t="shared" si="13"/>
        <v>-1</v>
      </c>
      <c r="O91" s="143">
        <f t="shared" si="14"/>
        <v>-973</v>
      </c>
      <c r="P91" s="143">
        <f t="shared" si="16"/>
        <v>-620</v>
      </c>
      <c r="R91" s="10">
        <v>973</v>
      </c>
      <c r="S91" s="10">
        <v>620</v>
      </c>
    </row>
    <row r="92" spans="1:19" ht="12.75" customHeight="1" x14ac:dyDescent="0.3">
      <c r="A92" t="s">
        <v>19</v>
      </c>
      <c r="B92" s="10"/>
      <c r="C92" s="10"/>
      <c r="D92" s="10"/>
      <c r="E92" s="10"/>
      <c r="F92" s="10"/>
      <c r="G92" s="10"/>
      <c r="H92" s="31"/>
      <c r="I92" s="10">
        <f t="shared" si="15"/>
        <v>0</v>
      </c>
      <c r="J92" s="10"/>
      <c r="K92" s="278">
        <f t="shared" si="13"/>
        <v>-1</v>
      </c>
      <c r="L92" s="279">
        <f t="shared" si="13"/>
        <v>-1</v>
      </c>
      <c r="O92" s="143">
        <f t="shared" si="14"/>
        <v>-613</v>
      </c>
      <c r="P92" s="143">
        <f t="shared" si="16"/>
        <v>-430</v>
      </c>
      <c r="R92" s="10">
        <v>613</v>
      </c>
      <c r="S92" s="10">
        <v>430</v>
      </c>
    </row>
    <row r="93" spans="1:19" ht="12.75" customHeight="1" x14ac:dyDescent="0.3">
      <c r="A93" t="s">
        <v>20</v>
      </c>
      <c r="B93" s="10"/>
      <c r="C93" s="10"/>
      <c r="D93" s="10"/>
      <c r="E93" s="10"/>
      <c r="F93" s="10"/>
      <c r="G93" s="10"/>
      <c r="H93" s="31"/>
      <c r="I93" s="10">
        <f t="shared" si="15"/>
        <v>0</v>
      </c>
      <c r="J93" s="10"/>
      <c r="K93" s="278">
        <f t="shared" si="13"/>
        <v>-1</v>
      </c>
      <c r="L93" s="279">
        <f t="shared" si="13"/>
        <v>-1</v>
      </c>
      <c r="O93" s="143">
        <f t="shared" si="14"/>
        <v>-628</v>
      </c>
      <c r="P93" s="143">
        <f t="shared" si="16"/>
        <v>-440</v>
      </c>
      <c r="R93" s="10">
        <v>628</v>
      </c>
      <c r="S93" s="10">
        <v>440</v>
      </c>
    </row>
    <row r="94" spans="1:19" ht="12.75" customHeight="1" x14ac:dyDescent="0.3">
      <c r="A94" t="s">
        <v>21</v>
      </c>
      <c r="B94" s="10"/>
      <c r="C94" s="10"/>
      <c r="D94" s="10"/>
      <c r="E94" s="10"/>
      <c r="F94" s="10"/>
      <c r="G94" s="10"/>
      <c r="H94" s="31"/>
      <c r="I94" s="10">
        <f t="shared" si="15"/>
        <v>0</v>
      </c>
      <c r="J94" s="10"/>
      <c r="K94" s="278">
        <f t="shared" si="13"/>
        <v>-1</v>
      </c>
      <c r="L94" s="279">
        <f t="shared" si="13"/>
        <v>-1</v>
      </c>
      <c r="O94" s="143">
        <f t="shared" si="14"/>
        <v>-441</v>
      </c>
      <c r="P94" s="143">
        <f t="shared" si="16"/>
        <v>-285</v>
      </c>
      <c r="R94" s="10">
        <v>441</v>
      </c>
      <c r="S94" s="10">
        <v>285</v>
      </c>
    </row>
    <row r="95" spans="1:19" ht="12.75" customHeight="1" x14ac:dyDescent="0.3">
      <c r="A95" s="4" t="s">
        <v>22</v>
      </c>
      <c r="B95" s="11"/>
      <c r="C95" s="11"/>
      <c r="D95" s="11"/>
      <c r="E95" s="11"/>
      <c r="F95" s="11"/>
      <c r="G95" s="11"/>
      <c r="H95" s="30"/>
      <c r="I95" s="11">
        <f t="shared" si="15"/>
        <v>0</v>
      </c>
      <c r="J95" s="81"/>
      <c r="K95" s="280">
        <f t="shared" si="13"/>
        <v>-1</v>
      </c>
      <c r="L95" s="281">
        <f t="shared" si="13"/>
        <v>-1</v>
      </c>
      <c r="O95" s="169">
        <f t="shared" si="14"/>
        <v>-386</v>
      </c>
      <c r="P95" s="169">
        <f t="shared" si="16"/>
        <v>-264</v>
      </c>
      <c r="R95" s="11">
        <v>386</v>
      </c>
      <c r="S95" s="11">
        <v>264</v>
      </c>
    </row>
    <row r="96" spans="1:19" ht="12.75" customHeight="1" x14ac:dyDescent="0.3">
      <c r="A96" s="3" t="s">
        <v>137</v>
      </c>
      <c r="B96" s="8">
        <f t="shared" ref="B96:J96" si="17">SUM(B84:B95)</f>
        <v>3502</v>
      </c>
      <c r="C96" s="8">
        <f t="shared" si="17"/>
        <v>1817</v>
      </c>
      <c r="D96" s="8">
        <f t="shared" si="17"/>
        <v>47</v>
      </c>
      <c r="E96" s="8">
        <f t="shared" si="17"/>
        <v>0</v>
      </c>
      <c r="F96" s="8">
        <f t="shared" si="17"/>
        <v>108</v>
      </c>
      <c r="G96" s="8">
        <f t="shared" si="17"/>
        <v>418</v>
      </c>
      <c r="H96" s="31">
        <f t="shared" si="17"/>
        <v>0</v>
      </c>
      <c r="I96" s="8">
        <f t="shared" si="17"/>
        <v>2390</v>
      </c>
      <c r="J96" s="8">
        <f t="shared" si="17"/>
        <v>1465</v>
      </c>
      <c r="K96" s="282">
        <f t="shared" si="13"/>
        <v>-0.57903594181993023</v>
      </c>
      <c r="L96" s="171">
        <f t="shared" si="13"/>
        <v>-0.57206803939122652</v>
      </c>
      <c r="O96" s="143">
        <f>SUM(O84:O95)</f>
        <v>-4817</v>
      </c>
      <c r="P96" s="143">
        <f>SUM(P84:P95)</f>
        <v>-3195</v>
      </c>
      <c r="R96" s="99">
        <f>SUM(R84:R95)</f>
        <v>8319</v>
      </c>
      <c r="S96" s="99">
        <f>SUM(S84:S95)</f>
        <v>5585</v>
      </c>
    </row>
    <row r="97" spans="1:12" ht="12.75" customHeight="1" x14ac:dyDescent="0.3">
      <c r="A97" s="5" t="s">
        <v>131</v>
      </c>
      <c r="B97" s="9">
        <v>8319</v>
      </c>
      <c r="C97" s="9">
        <v>4400</v>
      </c>
      <c r="D97" s="9">
        <v>83</v>
      </c>
      <c r="E97" s="9">
        <v>2</v>
      </c>
      <c r="F97" s="9">
        <v>285</v>
      </c>
      <c r="G97" s="9">
        <v>815</v>
      </c>
      <c r="H97" s="9">
        <v>0</v>
      </c>
      <c r="I97" s="9">
        <v>5585</v>
      </c>
      <c r="J97" s="9">
        <v>3134</v>
      </c>
      <c r="K97" s="9">
        <v>3.9577836411609502E-2</v>
      </c>
      <c r="L97" s="157">
        <v>4.4568690095846644E-2</v>
      </c>
    </row>
    <row r="98" spans="1:12" ht="12.75" customHeight="1" x14ac:dyDescent="0.3">
      <c r="A98" s="5" t="s">
        <v>23</v>
      </c>
      <c r="B98" s="9">
        <f t="shared" ref="B98:J98" si="18">B96-B97</f>
        <v>-4817</v>
      </c>
      <c r="C98" s="9">
        <f t="shared" si="18"/>
        <v>-2583</v>
      </c>
      <c r="D98" s="9">
        <f t="shared" si="18"/>
        <v>-36</v>
      </c>
      <c r="E98" s="9">
        <f t="shared" si="18"/>
        <v>-2</v>
      </c>
      <c r="F98" s="9">
        <f t="shared" si="18"/>
        <v>-177</v>
      </c>
      <c r="G98" s="9">
        <f t="shared" si="18"/>
        <v>-397</v>
      </c>
      <c r="H98" s="30">
        <f t="shared" si="18"/>
        <v>0</v>
      </c>
      <c r="I98" s="9">
        <f t="shared" si="18"/>
        <v>-3195</v>
      </c>
      <c r="J98" s="9">
        <f t="shared" si="18"/>
        <v>-1669</v>
      </c>
      <c r="K98" s="48"/>
      <c r="L98" s="158"/>
    </row>
    <row r="99" spans="1:12" ht="12.75" customHeight="1" x14ac:dyDescent="0.25"/>
  </sheetData>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5:O103"/>
  <sheetViews>
    <sheetView tabSelected="1" topLeftCell="A73" workbookViewId="0">
      <selection activeCell="N31" sqref="N31"/>
    </sheetView>
  </sheetViews>
  <sheetFormatPr defaultRowHeight="12.75" customHeight="1" x14ac:dyDescent="0.25"/>
  <cols>
    <col min="1" max="1" width="14.54296875" customWidth="1"/>
    <col min="2" max="7" width="11.54296875" customWidth="1"/>
    <col min="8" max="8" width="14.1796875" customWidth="1"/>
    <col min="9" max="10" width="14" customWidth="1"/>
    <col min="11" max="11" width="13.90625" customWidth="1"/>
    <col min="13" max="13" width="11.90625" customWidth="1"/>
  </cols>
  <sheetData>
    <row r="5" spans="1:11" ht="12.75" customHeight="1" thickBot="1" x14ac:dyDescent="0.3"/>
    <row r="6" spans="1:11" ht="15" customHeight="1" x14ac:dyDescent="0.35">
      <c r="A6" s="202"/>
      <c r="B6" s="454" t="s">
        <v>60</v>
      </c>
      <c r="C6" s="455"/>
      <c r="D6" s="456" t="s">
        <v>61</v>
      </c>
      <c r="E6" s="457"/>
      <c r="F6" s="454" t="s">
        <v>37</v>
      </c>
      <c r="G6" s="458"/>
      <c r="H6" s="454" t="s">
        <v>59</v>
      </c>
      <c r="I6" s="458"/>
      <c r="J6" s="459" t="s">
        <v>38</v>
      </c>
      <c r="K6" s="460"/>
    </row>
    <row r="7" spans="1:11" ht="15" customHeight="1" x14ac:dyDescent="0.35">
      <c r="A7" s="203"/>
      <c r="B7" s="65"/>
      <c r="C7" s="461" t="s">
        <v>39</v>
      </c>
      <c r="D7" s="461"/>
      <c r="E7" s="462" t="s">
        <v>50</v>
      </c>
      <c r="F7" s="463" t="s">
        <v>39</v>
      </c>
      <c r="G7" s="464"/>
      <c r="H7" s="463" t="s">
        <v>40</v>
      </c>
      <c r="I7" s="464"/>
      <c r="J7" s="465" t="s">
        <v>41</v>
      </c>
      <c r="K7" s="466"/>
    </row>
    <row r="8" spans="1:11" ht="15" customHeight="1" thickBot="1" x14ac:dyDescent="0.4">
      <c r="A8" s="203"/>
      <c r="B8" s="467" t="s">
        <v>42</v>
      </c>
      <c r="C8" s="468"/>
      <c r="D8" s="469" t="s">
        <v>42</v>
      </c>
      <c r="E8" s="470"/>
      <c r="F8" s="467" t="s">
        <v>42</v>
      </c>
      <c r="G8" s="470"/>
      <c r="H8" s="467" t="s">
        <v>42</v>
      </c>
      <c r="I8" s="470"/>
      <c r="J8" s="471" t="s">
        <v>37</v>
      </c>
      <c r="K8" s="472"/>
    </row>
    <row r="9" spans="1:11" ht="15" customHeight="1" thickBot="1" x14ac:dyDescent="0.4">
      <c r="A9" s="204" t="s">
        <v>43</v>
      </c>
      <c r="B9" s="64" t="s">
        <v>1</v>
      </c>
      <c r="C9" s="64" t="s">
        <v>9</v>
      </c>
      <c r="D9" s="64" t="s">
        <v>1</v>
      </c>
      <c r="E9" s="64" t="s">
        <v>9</v>
      </c>
      <c r="F9" s="64" t="s">
        <v>1</v>
      </c>
      <c r="G9" s="64" t="s">
        <v>9</v>
      </c>
      <c r="H9" s="64" t="s">
        <v>1</v>
      </c>
      <c r="I9" s="66" t="s">
        <v>9</v>
      </c>
      <c r="J9" s="56" t="s">
        <v>1</v>
      </c>
      <c r="K9" s="63" t="s">
        <v>9</v>
      </c>
    </row>
    <row r="10" spans="1:11" ht="15" customHeight="1" x14ac:dyDescent="0.35">
      <c r="A10" s="205" t="s">
        <v>11</v>
      </c>
      <c r="B10" s="234">
        <v>0</v>
      </c>
      <c r="C10" s="234">
        <v>0</v>
      </c>
      <c r="D10" s="234">
        <v>199</v>
      </c>
      <c r="E10" s="234">
        <v>106</v>
      </c>
      <c r="F10" s="235">
        <v>199</v>
      </c>
      <c r="G10" s="235">
        <v>106</v>
      </c>
      <c r="H10" s="234">
        <v>1214</v>
      </c>
      <c r="I10" s="234">
        <v>640</v>
      </c>
      <c r="J10" s="234">
        <v>1413</v>
      </c>
      <c r="K10" s="236">
        <v>746</v>
      </c>
    </row>
    <row r="11" spans="1:11" ht="15" customHeight="1" x14ac:dyDescent="0.35">
      <c r="A11" s="206" t="s">
        <v>12</v>
      </c>
      <c r="B11" s="234">
        <v>0</v>
      </c>
      <c r="C11" s="234">
        <v>0</v>
      </c>
      <c r="D11" s="234">
        <v>163</v>
      </c>
      <c r="E11" s="234">
        <v>73</v>
      </c>
      <c r="F11" s="234">
        <v>163</v>
      </c>
      <c r="G11" s="234">
        <v>73</v>
      </c>
      <c r="H11" s="234">
        <v>1025</v>
      </c>
      <c r="I11" s="234">
        <v>548</v>
      </c>
      <c r="J11" s="234">
        <v>1188</v>
      </c>
      <c r="K11" s="236">
        <v>621</v>
      </c>
    </row>
    <row r="12" spans="1:11" ht="15" customHeight="1" x14ac:dyDescent="0.35">
      <c r="A12" s="206" t="s">
        <v>13</v>
      </c>
      <c r="B12" s="234">
        <v>0</v>
      </c>
      <c r="C12" s="234">
        <v>0</v>
      </c>
      <c r="D12" s="234">
        <v>188</v>
      </c>
      <c r="E12" s="234">
        <v>105</v>
      </c>
      <c r="F12" s="234">
        <v>188</v>
      </c>
      <c r="G12" s="234">
        <v>105</v>
      </c>
      <c r="H12" s="234">
        <v>1245</v>
      </c>
      <c r="I12" s="234">
        <v>695</v>
      </c>
      <c r="J12" s="234">
        <v>1433</v>
      </c>
      <c r="K12" s="236">
        <v>800</v>
      </c>
    </row>
    <row r="13" spans="1:11" ht="15" customHeight="1" x14ac:dyDescent="0.35">
      <c r="A13" s="206" t="s">
        <v>14</v>
      </c>
      <c r="B13" s="234">
        <v>0</v>
      </c>
      <c r="C13" s="234">
        <v>0</v>
      </c>
      <c r="D13" s="234">
        <v>204</v>
      </c>
      <c r="E13" s="234">
        <v>107</v>
      </c>
      <c r="F13" s="234">
        <v>204</v>
      </c>
      <c r="G13" s="234">
        <v>107</v>
      </c>
      <c r="H13" s="234">
        <v>2259</v>
      </c>
      <c r="I13" s="234">
        <v>1079</v>
      </c>
      <c r="J13" s="234">
        <v>2463</v>
      </c>
      <c r="K13" s="236">
        <v>1186</v>
      </c>
    </row>
    <row r="14" spans="1:11" ht="15" customHeight="1" x14ac:dyDescent="0.35">
      <c r="A14" s="206" t="s">
        <v>15</v>
      </c>
      <c r="B14" s="234">
        <v>0</v>
      </c>
      <c r="C14" s="234">
        <v>0</v>
      </c>
      <c r="D14" s="234">
        <v>535</v>
      </c>
      <c r="E14" s="234">
        <v>294</v>
      </c>
      <c r="F14" s="234">
        <v>535</v>
      </c>
      <c r="G14" s="234">
        <v>294</v>
      </c>
      <c r="H14" s="234">
        <v>3433</v>
      </c>
      <c r="I14" s="234">
        <v>1261</v>
      </c>
      <c r="J14" s="234">
        <v>3968</v>
      </c>
      <c r="K14" s="236">
        <v>1555</v>
      </c>
    </row>
    <row r="15" spans="1:11" ht="15" customHeight="1" x14ac:dyDescent="0.35">
      <c r="A15" s="206" t="s">
        <v>16</v>
      </c>
      <c r="B15" s="234">
        <v>785</v>
      </c>
      <c r="C15" s="234">
        <v>314</v>
      </c>
      <c r="D15" s="234">
        <v>753</v>
      </c>
      <c r="E15" s="234">
        <v>281</v>
      </c>
      <c r="F15" s="234">
        <v>1538</v>
      </c>
      <c r="G15" s="234">
        <v>595</v>
      </c>
      <c r="H15" s="234">
        <v>4583</v>
      </c>
      <c r="I15" s="234">
        <v>1602</v>
      </c>
      <c r="J15" s="234">
        <v>6121</v>
      </c>
      <c r="K15" s="236">
        <v>2197</v>
      </c>
    </row>
    <row r="16" spans="1:11" ht="15" customHeight="1" x14ac:dyDescent="0.35">
      <c r="A16" s="206" t="s">
        <v>17</v>
      </c>
      <c r="B16" s="234">
        <v>2962</v>
      </c>
      <c r="C16" s="234">
        <v>1316</v>
      </c>
      <c r="D16" s="234">
        <v>0</v>
      </c>
      <c r="E16" s="234">
        <v>0</v>
      </c>
      <c r="F16" s="234">
        <v>2962</v>
      </c>
      <c r="G16" s="234">
        <v>1316</v>
      </c>
      <c r="H16" s="234">
        <v>7176</v>
      </c>
      <c r="I16" s="234">
        <v>2394</v>
      </c>
      <c r="J16" s="234">
        <v>10138</v>
      </c>
      <c r="K16" s="236">
        <v>3710</v>
      </c>
    </row>
    <row r="17" spans="1:15" ht="15" customHeight="1" x14ac:dyDescent="0.35">
      <c r="A17" s="206" t="s">
        <v>18</v>
      </c>
      <c r="B17" s="234">
        <v>1118</v>
      </c>
      <c r="C17" s="234">
        <v>417</v>
      </c>
      <c r="D17" s="234">
        <v>403</v>
      </c>
      <c r="E17" s="234">
        <v>185</v>
      </c>
      <c r="F17" s="234">
        <v>1521</v>
      </c>
      <c r="G17" s="234">
        <v>602</v>
      </c>
      <c r="H17" s="234">
        <v>5167</v>
      </c>
      <c r="I17" s="234">
        <v>1684</v>
      </c>
      <c r="J17" s="234">
        <v>6688</v>
      </c>
      <c r="K17" s="236">
        <v>2286</v>
      </c>
    </row>
    <row r="18" spans="1:15" ht="15" customHeight="1" x14ac:dyDescent="0.35">
      <c r="A18" s="206" t="s">
        <v>19</v>
      </c>
      <c r="B18" s="234">
        <v>56</v>
      </c>
      <c r="C18" s="234">
        <v>17</v>
      </c>
      <c r="D18" s="234">
        <v>518</v>
      </c>
      <c r="E18" s="234">
        <v>267</v>
      </c>
      <c r="F18" s="234">
        <v>574</v>
      </c>
      <c r="G18" s="234">
        <v>284</v>
      </c>
      <c r="H18" s="234">
        <v>2731</v>
      </c>
      <c r="I18" s="234">
        <v>1324</v>
      </c>
      <c r="J18" s="234">
        <v>3305</v>
      </c>
      <c r="K18" s="236">
        <v>1608</v>
      </c>
    </row>
    <row r="19" spans="1:15" ht="15" customHeight="1" x14ac:dyDescent="0.35">
      <c r="A19" s="206" t="s">
        <v>20</v>
      </c>
      <c r="B19" s="234">
        <v>0</v>
      </c>
      <c r="C19" s="234">
        <v>0</v>
      </c>
      <c r="D19" s="234">
        <v>369</v>
      </c>
      <c r="E19" s="234">
        <v>160</v>
      </c>
      <c r="F19" s="234">
        <v>369</v>
      </c>
      <c r="G19" s="234">
        <v>160</v>
      </c>
      <c r="H19" s="234">
        <v>2171</v>
      </c>
      <c r="I19" s="234">
        <v>1080</v>
      </c>
      <c r="J19" s="234">
        <v>2540</v>
      </c>
      <c r="K19" s="236">
        <v>1240</v>
      </c>
    </row>
    <row r="20" spans="1:15" ht="15" customHeight="1" x14ac:dyDescent="0.35">
      <c r="A20" s="206" t="s">
        <v>21</v>
      </c>
      <c r="B20" s="234">
        <v>11</v>
      </c>
      <c r="C20" s="234">
        <v>7</v>
      </c>
      <c r="D20" s="234">
        <v>212</v>
      </c>
      <c r="E20" s="234">
        <v>108</v>
      </c>
      <c r="F20" s="234">
        <v>223</v>
      </c>
      <c r="G20" s="234">
        <v>115</v>
      </c>
      <c r="H20" s="234">
        <v>1504</v>
      </c>
      <c r="I20" s="234">
        <v>939</v>
      </c>
      <c r="J20" s="234">
        <v>1727</v>
      </c>
      <c r="K20" s="236">
        <v>1054</v>
      </c>
    </row>
    <row r="21" spans="1:15" ht="15" customHeight="1" thickBot="1" x14ac:dyDescent="0.4">
      <c r="A21" s="207" t="s">
        <v>22</v>
      </c>
      <c r="B21" s="237">
        <v>0</v>
      </c>
      <c r="C21" s="237">
        <v>0</v>
      </c>
      <c r="D21" s="237">
        <v>215</v>
      </c>
      <c r="E21" s="237">
        <v>112</v>
      </c>
      <c r="F21" s="238">
        <v>215</v>
      </c>
      <c r="G21" s="238">
        <v>112</v>
      </c>
      <c r="H21" s="237">
        <v>1486</v>
      </c>
      <c r="I21" s="237">
        <v>773</v>
      </c>
      <c r="J21" s="237">
        <v>1701</v>
      </c>
      <c r="K21" s="208">
        <v>885</v>
      </c>
    </row>
    <row r="22" spans="1:15" ht="15" customHeight="1" x14ac:dyDescent="0.35">
      <c r="A22" s="110" t="s">
        <v>96</v>
      </c>
      <c r="B22" s="239">
        <v>4932</v>
      </c>
      <c r="C22" s="239">
        <v>2071</v>
      </c>
      <c r="D22" s="239">
        <v>3759</v>
      </c>
      <c r="E22" s="239">
        <v>1798</v>
      </c>
      <c r="F22" s="239">
        <v>8691</v>
      </c>
      <c r="G22" s="239">
        <v>3869</v>
      </c>
      <c r="H22" s="239">
        <v>33994</v>
      </c>
      <c r="I22" s="239">
        <v>14019</v>
      </c>
      <c r="J22" s="239">
        <v>42685</v>
      </c>
      <c r="K22" s="244">
        <v>17888</v>
      </c>
    </row>
    <row r="23" spans="1:15" ht="15" customHeight="1" thickBot="1" x14ac:dyDescent="0.4">
      <c r="A23" s="111" t="s">
        <v>89</v>
      </c>
      <c r="B23" s="240">
        <v>4847</v>
      </c>
      <c r="C23" s="240">
        <v>2145</v>
      </c>
      <c r="D23" s="240">
        <v>4206</v>
      </c>
      <c r="E23" s="240">
        <v>2017</v>
      </c>
      <c r="F23" s="240">
        <v>9053</v>
      </c>
      <c r="G23" s="240">
        <v>4162</v>
      </c>
      <c r="H23" s="240">
        <v>34827</v>
      </c>
      <c r="I23" s="240">
        <v>14604</v>
      </c>
      <c r="J23" s="240">
        <v>43880</v>
      </c>
      <c r="K23" s="241">
        <v>18766</v>
      </c>
    </row>
    <row r="24" spans="1:15" ht="18" customHeight="1" thickTop="1" thickBot="1" x14ac:dyDescent="0.4">
      <c r="A24" s="113" t="s">
        <v>23</v>
      </c>
      <c r="B24" s="242">
        <v>85</v>
      </c>
      <c r="C24" s="242">
        <v>-74</v>
      </c>
      <c r="D24" s="242">
        <v>-447</v>
      </c>
      <c r="E24" s="242">
        <v>-219</v>
      </c>
      <c r="F24" s="242">
        <v>-362</v>
      </c>
      <c r="G24" s="242">
        <v>-293</v>
      </c>
      <c r="H24" s="242">
        <v>-833</v>
      </c>
      <c r="I24" s="242">
        <v>-585</v>
      </c>
      <c r="J24" s="242">
        <v>-1195</v>
      </c>
      <c r="K24" s="243">
        <v>-878</v>
      </c>
    </row>
    <row r="29" spans="1:15" ht="12.75" customHeight="1" x14ac:dyDescent="0.25">
      <c r="A29" s="254"/>
      <c r="B29" s="254"/>
      <c r="C29" s="254"/>
      <c r="D29" s="254"/>
      <c r="E29" s="254"/>
      <c r="F29" s="254"/>
      <c r="G29" s="254"/>
      <c r="H29" s="254"/>
      <c r="I29" s="254"/>
      <c r="J29" s="254"/>
      <c r="K29" s="254"/>
    </row>
    <row r="30" spans="1:15" ht="12.75" customHeight="1" x14ac:dyDescent="0.25">
      <c r="A30" s="254"/>
      <c r="B30" s="254"/>
      <c r="C30" s="254"/>
      <c r="D30" s="254"/>
      <c r="E30" s="254"/>
      <c r="F30" s="254"/>
      <c r="G30" s="254"/>
      <c r="H30" s="254"/>
      <c r="I30" s="254"/>
      <c r="J30" s="254"/>
      <c r="K30" s="254"/>
    </row>
    <row r="31" spans="1:15" ht="12.75" customHeight="1" x14ac:dyDescent="0.25">
      <c r="A31" s="254"/>
      <c r="B31" s="254"/>
      <c r="C31" s="254"/>
      <c r="D31" s="254"/>
      <c r="E31" s="254"/>
      <c r="F31" s="254"/>
      <c r="G31" s="254"/>
      <c r="H31" s="254"/>
      <c r="I31" s="254"/>
      <c r="J31" s="254"/>
      <c r="K31" s="254"/>
      <c r="O31" s="22"/>
    </row>
    <row r="32" spans="1:15" ht="12.75" customHeight="1" thickBot="1" x14ac:dyDescent="0.3">
      <c r="A32" s="254"/>
      <c r="B32" s="254"/>
      <c r="C32" s="254"/>
      <c r="D32" s="254"/>
      <c r="E32" s="254"/>
      <c r="F32" s="254"/>
      <c r="G32" s="254"/>
      <c r="H32" s="254"/>
      <c r="I32" s="254"/>
      <c r="J32" s="254"/>
      <c r="K32" s="254"/>
    </row>
    <row r="33" spans="1:13" ht="12.75" customHeight="1" x14ac:dyDescent="0.35">
      <c r="A33" s="202"/>
      <c r="B33" s="454" t="s">
        <v>60</v>
      </c>
      <c r="C33" s="455"/>
      <c r="D33" s="456" t="s">
        <v>61</v>
      </c>
      <c r="E33" s="457"/>
      <c r="F33" s="454" t="s">
        <v>37</v>
      </c>
      <c r="G33" s="458"/>
      <c r="H33" s="454" t="s">
        <v>59</v>
      </c>
      <c r="I33" s="458"/>
      <c r="J33" s="459" t="s">
        <v>38</v>
      </c>
      <c r="K33" s="460"/>
    </row>
    <row r="34" spans="1:13" ht="12.75" customHeight="1" x14ac:dyDescent="0.35">
      <c r="A34" s="203"/>
      <c r="B34" s="65"/>
      <c r="C34" s="461" t="s">
        <v>39</v>
      </c>
      <c r="D34" s="461"/>
      <c r="E34" s="462" t="s">
        <v>50</v>
      </c>
      <c r="F34" s="463" t="s">
        <v>39</v>
      </c>
      <c r="G34" s="464"/>
      <c r="H34" s="463" t="s">
        <v>40</v>
      </c>
      <c r="I34" s="464"/>
      <c r="J34" s="465" t="s">
        <v>41</v>
      </c>
      <c r="K34" s="466"/>
    </row>
    <row r="35" spans="1:13" ht="12.75" customHeight="1" thickBot="1" x14ac:dyDescent="0.4">
      <c r="A35" s="203"/>
      <c r="B35" s="467" t="s">
        <v>42</v>
      </c>
      <c r="C35" s="468"/>
      <c r="D35" s="469" t="s">
        <v>42</v>
      </c>
      <c r="E35" s="470"/>
      <c r="F35" s="467" t="s">
        <v>42</v>
      </c>
      <c r="G35" s="470"/>
      <c r="H35" s="467" t="s">
        <v>42</v>
      </c>
      <c r="I35" s="470"/>
      <c r="J35" s="471" t="s">
        <v>37</v>
      </c>
      <c r="K35" s="472"/>
    </row>
    <row r="36" spans="1:13" ht="12.75" customHeight="1" thickBot="1" x14ac:dyDescent="0.4">
      <c r="A36" s="204" t="s">
        <v>43</v>
      </c>
      <c r="B36" s="64" t="s">
        <v>1</v>
      </c>
      <c r="C36" s="64" t="s">
        <v>9</v>
      </c>
      <c r="D36" s="64" t="s">
        <v>1</v>
      </c>
      <c r="E36" s="64" t="s">
        <v>9</v>
      </c>
      <c r="F36" s="64" t="s">
        <v>1</v>
      </c>
      <c r="G36" s="64" t="s">
        <v>9</v>
      </c>
      <c r="H36" s="64" t="s">
        <v>1</v>
      </c>
      <c r="I36" s="66" t="s">
        <v>9</v>
      </c>
      <c r="J36" s="56" t="s">
        <v>1</v>
      </c>
      <c r="K36" s="255" t="s">
        <v>9</v>
      </c>
    </row>
    <row r="37" spans="1:13" ht="12.75" customHeight="1" x14ac:dyDescent="0.35">
      <c r="A37" s="205" t="s">
        <v>11</v>
      </c>
      <c r="B37" s="52">
        <v>0</v>
      </c>
      <c r="C37" s="52">
        <v>0</v>
      </c>
      <c r="D37" s="52">
        <v>169</v>
      </c>
      <c r="E37" s="52">
        <v>92</v>
      </c>
      <c r="F37" s="142">
        <v>169</v>
      </c>
      <c r="G37" s="142">
        <v>92</v>
      </c>
      <c r="H37" s="52">
        <v>1168</v>
      </c>
      <c r="I37" s="52">
        <v>664</v>
      </c>
      <c r="J37" s="52">
        <v>1337</v>
      </c>
      <c r="K37" s="109">
        <v>756</v>
      </c>
    </row>
    <row r="38" spans="1:13" ht="12.75" customHeight="1" x14ac:dyDescent="0.35">
      <c r="A38" s="206" t="s">
        <v>12</v>
      </c>
      <c r="B38" s="52">
        <v>0</v>
      </c>
      <c r="C38" s="52">
        <v>0</v>
      </c>
      <c r="D38" s="52">
        <v>231</v>
      </c>
      <c r="E38" s="52">
        <v>122</v>
      </c>
      <c r="F38" s="52">
        <v>231</v>
      </c>
      <c r="G38" s="52">
        <v>122</v>
      </c>
      <c r="H38" s="52">
        <v>1034</v>
      </c>
      <c r="I38" s="52">
        <v>590</v>
      </c>
      <c r="J38" s="52">
        <v>1265</v>
      </c>
      <c r="K38" s="109">
        <v>712</v>
      </c>
    </row>
    <row r="39" spans="1:13" ht="12.75" customHeight="1" x14ac:dyDescent="0.35">
      <c r="A39" s="206" t="s">
        <v>13</v>
      </c>
      <c r="B39" s="52">
        <v>45</v>
      </c>
      <c r="C39" s="52">
        <v>18</v>
      </c>
      <c r="D39" s="52">
        <v>158</v>
      </c>
      <c r="E39" s="52">
        <v>83</v>
      </c>
      <c r="F39" s="52">
        <v>203</v>
      </c>
      <c r="G39" s="52">
        <v>101</v>
      </c>
      <c r="H39" s="52">
        <v>1836</v>
      </c>
      <c r="I39" s="52">
        <v>1080</v>
      </c>
      <c r="J39" s="52">
        <v>2039</v>
      </c>
      <c r="K39" s="109">
        <v>1181</v>
      </c>
    </row>
    <row r="40" spans="1:13" ht="12.75" customHeight="1" x14ac:dyDescent="0.35">
      <c r="A40" s="206" t="s">
        <v>14</v>
      </c>
      <c r="B40" s="52">
        <v>42</v>
      </c>
      <c r="C40" s="52">
        <v>12</v>
      </c>
      <c r="D40" s="52">
        <v>188</v>
      </c>
      <c r="E40" s="52">
        <v>99</v>
      </c>
      <c r="F40" s="52">
        <v>230</v>
      </c>
      <c r="G40" s="52">
        <v>111</v>
      </c>
      <c r="H40" s="52">
        <v>1658</v>
      </c>
      <c r="I40" s="52">
        <v>856</v>
      </c>
      <c r="J40" s="52">
        <v>1888</v>
      </c>
      <c r="K40" s="109">
        <v>967</v>
      </c>
      <c r="M40" t="s">
        <v>119</v>
      </c>
    </row>
    <row r="41" spans="1:13" ht="12.75" customHeight="1" x14ac:dyDescent="0.35">
      <c r="A41" s="206" t="s">
        <v>15</v>
      </c>
      <c r="B41" s="52">
        <v>0</v>
      </c>
      <c r="C41" s="52">
        <v>0</v>
      </c>
      <c r="D41" s="52">
        <v>407</v>
      </c>
      <c r="E41" s="52">
        <v>198</v>
      </c>
      <c r="F41" s="52">
        <v>407</v>
      </c>
      <c r="G41" s="52">
        <v>198</v>
      </c>
      <c r="H41" s="52">
        <v>3387</v>
      </c>
      <c r="I41" s="52">
        <v>1322</v>
      </c>
      <c r="J41" s="52">
        <v>3794</v>
      </c>
      <c r="K41" s="109">
        <v>1520</v>
      </c>
    </row>
    <row r="42" spans="1:13" ht="12.75" customHeight="1" x14ac:dyDescent="0.35">
      <c r="A42" s="206" t="s">
        <v>16</v>
      </c>
      <c r="B42" s="52">
        <v>34</v>
      </c>
      <c r="C42" s="52">
        <v>15</v>
      </c>
      <c r="D42" s="52">
        <v>644</v>
      </c>
      <c r="E42" s="52">
        <v>259</v>
      </c>
      <c r="F42" s="52">
        <v>678</v>
      </c>
      <c r="G42" s="52">
        <v>274</v>
      </c>
      <c r="H42" s="52">
        <v>4660</v>
      </c>
      <c r="I42" s="52">
        <v>1659</v>
      </c>
      <c r="J42" s="52">
        <v>5338</v>
      </c>
      <c r="K42" s="109">
        <v>1933</v>
      </c>
    </row>
    <row r="43" spans="1:13" ht="12.75" customHeight="1" x14ac:dyDescent="0.35">
      <c r="A43" s="206" t="s">
        <v>17</v>
      </c>
      <c r="B43" s="52">
        <v>2938</v>
      </c>
      <c r="C43" s="52">
        <v>1252</v>
      </c>
      <c r="D43" s="52">
        <v>87</v>
      </c>
      <c r="E43" s="52">
        <v>24</v>
      </c>
      <c r="F43" s="52">
        <v>3025</v>
      </c>
      <c r="G43" s="52">
        <v>1276</v>
      </c>
      <c r="H43" s="52">
        <v>7250</v>
      </c>
      <c r="I43" s="52">
        <v>5506</v>
      </c>
      <c r="J43" s="52">
        <v>10275</v>
      </c>
      <c r="K43" s="109">
        <v>6782</v>
      </c>
    </row>
    <row r="44" spans="1:13" ht="12.75" customHeight="1" x14ac:dyDescent="0.35">
      <c r="A44" s="206" t="s">
        <v>18</v>
      </c>
      <c r="B44" s="52">
        <v>846</v>
      </c>
      <c r="C44" s="52">
        <v>364</v>
      </c>
      <c r="D44" s="52">
        <v>585</v>
      </c>
      <c r="E44" s="52">
        <v>256</v>
      </c>
      <c r="F44" s="52">
        <v>1431</v>
      </c>
      <c r="G44" s="52">
        <v>620</v>
      </c>
      <c r="H44" s="52">
        <v>5059</v>
      </c>
      <c r="I44" s="52">
        <v>1787</v>
      </c>
      <c r="J44" s="52">
        <v>6490</v>
      </c>
      <c r="K44" s="109">
        <v>2407</v>
      </c>
    </row>
    <row r="45" spans="1:13" ht="12.75" customHeight="1" x14ac:dyDescent="0.35">
      <c r="A45" s="206" t="s">
        <v>19</v>
      </c>
      <c r="B45" s="52">
        <v>0</v>
      </c>
      <c r="C45" s="52">
        <v>0</v>
      </c>
      <c r="D45" s="52">
        <v>560</v>
      </c>
      <c r="E45" s="52">
        <v>237</v>
      </c>
      <c r="F45" s="52">
        <v>560</v>
      </c>
      <c r="G45" s="52">
        <v>237</v>
      </c>
      <c r="H45" s="52">
        <v>1359</v>
      </c>
      <c r="I45" s="52">
        <v>674</v>
      </c>
      <c r="J45" s="52">
        <v>1919</v>
      </c>
      <c r="K45" s="109">
        <v>911</v>
      </c>
    </row>
    <row r="46" spans="1:13" ht="12.75" customHeight="1" x14ac:dyDescent="0.35">
      <c r="A46" s="206" t="s">
        <v>20</v>
      </c>
      <c r="B46" s="52">
        <v>17</v>
      </c>
      <c r="C46" s="52">
        <v>8</v>
      </c>
      <c r="D46" s="52">
        <v>277</v>
      </c>
      <c r="E46" s="52">
        <v>134</v>
      </c>
      <c r="F46" s="52">
        <v>294</v>
      </c>
      <c r="G46" s="52">
        <v>142</v>
      </c>
      <c r="H46" s="52">
        <v>2031</v>
      </c>
      <c r="I46" s="52">
        <v>1163</v>
      </c>
      <c r="J46" s="52">
        <v>2325</v>
      </c>
      <c r="K46" s="109">
        <v>1305</v>
      </c>
    </row>
    <row r="47" spans="1:13" ht="12.75" customHeight="1" x14ac:dyDescent="0.35">
      <c r="A47" s="206" t="s">
        <v>21</v>
      </c>
      <c r="B47" s="52">
        <v>0</v>
      </c>
      <c r="C47" s="52">
        <v>0</v>
      </c>
      <c r="D47" s="52">
        <v>239</v>
      </c>
      <c r="E47" s="52">
        <v>136</v>
      </c>
      <c r="F47" s="52">
        <v>239</v>
      </c>
      <c r="G47" s="52">
        <v>136</v>
      </c>
      <c r="H47" s="52">
        <v>1742</v>
      </c>
      <c r="I47" s="52">
        <v>1045</v>
      </c>
      <c r="J47" s="52">
        <v>1981</v>
      </c>
      <c r="K47" s="109">
        <v>1181</v>
      </c>
    </row>
    <row r="48" spans="1:13" ht="15.65" customHeight="1" thickBot="1" x14ac:dyDescent="0.4">
      <c r="A48" s="308" t="s">
        <v>22</v>
      </c>
      <c r="B48" s="309">
        <v>0</v>
      </c>
      <c r="C48" s="309">
        <v>0</v>
      </c>
      <c r="D48" s="309">
        <v>240</v>
      </c>
      <c r="E48" s="309">
        <v>109</v>
      </c>
      <c r="F48" s="310">
        <v>240</v>
      </c>
      <c r="G48" s="310">
        <v>109</v>
      </c>
      <c r="H48" s="309">
        <v>1443</v>
      </c>
      <c r="I48" s="309">
        <v>760</v>
      </c>
      <c r="J48" s="309">
        <v>1683</v>
      </c>
      <c r="K48" s="307">
        <v>869</v>
      </c>
    </row>
    <row r="49" spans="1:11" ht="15.65" customHeight="1" x14ac:dyDescent="0.35">
      <c r="A49" s="311" t="s">
        <v>108</v>
      </c>
      <c r="B49" s="312">
        <v>3922</v>
      </c>
      <c r="C49" s="312">
        <v>1669</v>
      </c>
      <c r="D49" s="312">
        <v>3785</v>
      </c>
      <c r="E49" s="312">
        <v>1749</v>
      </c>
      <c r="F49" s="312">
        <v>7707</v>
      </c>
      <c r="G49" s="312">
        <v>3418</v>
      </c>
      <c r="H49" s="312">
        <v>32627</v>
      </c>
      <c r="I49" s="312">
        <v>17106</v>
      </c>
      <c r="J49" s="312">
        <v>40334</v>
      </c>
      <c r="K49" s="313">
        <v>20524</v>
      </c>
    </row>
    <row r="50" spans="1:11" ht="20" customHeight="1" thickBot="1" x14ac:dyDescent="0.4">
      <c r="A50" s="111" t="s">
        <v>96</v>
      </c>
      <c r="B50" s="53">
        <v>4932</v>
      </c>
      <c r="C50" s="53">
        <v>2071</v>
      </c>
      <c r="D50" s="53">
        <v>3759</v>
      </c>
      <c r="E50" s="53">
        <v>1798</v>
      </c>
      <c r="F50" s="53">
        <v>8691</v>
      </c>
      <c r="G50" s="53">
        <v>3869</v>
      </c>
      <c r="H50" s="53">
        <v>33994</v>
      </c>
      <c r="I50" s="53">
        <v>14019</v>
      </c>
      <c r="J50" s="53">
        <v>42685</v>
      </c>
      <c r="K50" s="112">
        <v>17888</v>
      </c>
    </row>
    <row r="51" spans="1:11" ht="18.649999999999999" customHeight="1" thickTop="1" thickBot="1" x14ac:dyDescent="0.4">
      <c r="A51" s="113" t="s">
        <v>23</v>
      </c>
      <c r="B51" s="114">
        <v>-1010</v>
      </c>
      <c r="C51" s="114">
        <v>-402</v>
      </c>
      <c r="D51" s="114">
        <v>26</v>
      </c>
      <c r="E51" s="114">
        <v>-49</v>
      </c>
      <c r="F51" s="114">
        <v>-984</v>
      </c>
      <c r="G51" s="114">
        <v>-451</v>
      </c>
      <c r="H51" s="114">
        <v>-1367</v>
      </c>
      <c r="I51" s="114">
        <v>3087</v>
      </c>
      <c r="J51" s="114">
        <v>-2351</v>
      </c>
      <c r="K51" s="115">
        <v>2636</v>
      </c>
    </row>
    <row r="58" spans="1:11" ht="12.75" customHeight="1" thickBot="1" x14ac:dyDescent="0.3"/>
    <row r="59" spans="1:11" ht="12.75" customHeight="1" x14ac:dyDescent="0.3">
      <c r="A59" s="424"/>
      <c r="B59" s="425" t="s">
        <v>60</v>
      </c>
      <c r="C59" s="426"/>
      <c r="D59" s="427" t="s">
        <v>61</v>
      </c>
      <c r="E59" s="428"/>
      <c r="F59" s="425" t="s">
        <v>37</v>
      </c>
      <c r="G59" s="429"/>
      <c r="H59" s="425" t="s">
        <v>59</v>
      </c>
      <c r="I59" s="429"/>
      <c r="J59" s="430" t="s">
        <v>38</v>
      </c>
      <c r="K59" s="431"/>
    </row>
    <row r="60" spans="1:11" ht="12.75" customHeight="1" x14ac:dyDescent="0.3">
      <c r="A60" s="432"/>
      <c r="B60" s="433"/>
      <c r="C60" s="434" t="s">
        <v>39</v>
      </c>
      <c r="D60" s="434"/>
      <c r="E60" s="435" t="s">
        <v>50</v>
      </c>
      <c r="F60" s="436" t="s">
        <v>39</v>
      </c>
      <c r="G60" s="437"/>
      <c r="H60" s="436" t="s">
        <v>40</v>
      </c>
      <c r="I60" s="437"/>
      <c r="J60" s="433" t="s">
        <v>41</v>
      </c>
      <c r="K60" s="438"/>
    </row>
    <row r="61" spans="1:11" ht="12.75" customHeight="1" thickBot="1" x14ac:dyDescent="0.35">
      <c r="A61" s="432"/>
      <c r="B61" s="439" t="s">
        <v>42</v>
      </c>
      <c r="C61" s="440"/>
      <c r="D61" s="441" t="s">
        <v>42</v>
      </c>
      <c r="E61" s="442"/>
      <c r="F61" s="439" t="s">
        <v>42</v>
      </c>
      <c r="G61" s="442"/>
      <c r="H61" s="439" t="s">
        <v>42</v>
      </c>
      <c r="I61" s="442"/>
      <c r="J61" s="443" t="s">
        <v>37</v>
      </c>
      <c r="K61" s="444"/>
    </row>
    <row r="62" spans="1:11" ht="12.75" customHeight="1" thickBot="1" x14ac:dyDescent="0.4">
      <c r="A62" s="445" t="s">
        <v>43</v>
      </c>
      <c r="B62" s="64" t="s">
        <v>1</v>
      </c>
      <c r="C62" s="64" t="s">
        <v>9</v>
      </c>
      <c r="D62" s="64" t="s">
        <v>1</v>
      </c>
      <c r="E62" s="64" t="s">
        <v>9</v>
      </c>
      <c r="F62" s="64" t="s">
        <v>1</v>
      </c>
      <c r="G62" s="64" t="s">
        <v>9</v>
      </c>
      <c r="H62" s="64" t="s">
        <v>1</v>
      </c>
      <c r="I62" s="66" t="s">
        <v>9</v>
      </c>
      <c r="J62" s="56" t="s">
        <v>1</v>
      </c>
      <c r="K62" s="255" t="s">
        <v>9</v>
      </c>
    </row>
    <row r="63" spans="1:11" ht="15.5" x14ac:dyDescent="0.35">
      <c r="A63" s="446" t="s">
        <v>11</v>
      </c>
      <c r="B63" s="52">
        <v>0</v>
      </c>
      <c r="C63" s="52">
        <v>0</v>
      </c>
      <c r="D63" s="52">
        <v>173</v>
      </c>
      <c r="E63" s="52">
        <v>81</v>
      </c>
      <c r="F63" s="142">
        <f t="shared" ref="F63:G74" si="0">B63+D63</f>
        <v>173</v>
      </c>
      <c r="G63" s="142">
        <f t="shared" si="0"/>
        <v>81</v>
      </c>
      <c r="H63" s="52">
        <v>1175</v>
      </c>
      <c r="I63" s="52">
        <v>665</v>
      </c>
      <c r="J63" s="52">
        <f>F63+H63</f>
        <v>1348</v>
      </c>
      <c r="K63" s="109">
        <f>G63+I63</f>
        <v>746</v>
      </c>
    </row>
    <row r="64" spans="1:11" ht="15.5" x14ac:dyDescent="0.35">
      <c r="A64" s="447" t="s">
        <v>12</v>
      </c>
      <c r="B64" s="52">
        <v>0</v>
      </c>
      <c r="C64" s="52">
        <v>0</v>
      </c>
      <c r="D64" s="52">
        <v>193</v>
      </c>
      <c r="E64" s="52">
        <v>96</v>
      </c>
      <c r="F64" s="52">
        <f t="shared" si="0"/>
        <v>193</v>
      </c>
      <c r="G64" s="52">
        <f t="shared" si="0"/>
        <v>96</v>
      </c>
      <c r="H64" s="52">
        <v>1018</v>
      </c>
      <c r="I64" s="52">
        <v>583</v>
      </c>
      <c r="J64" s="52">
        <f>F64+H64</f>
        <v>1211</v>
      </c>
      <c r="K64" s="109">
        <f t="shared" ref="K64:K74" si="1">G64+I64</f>
        <v>679</v>
      </c>
    </row>
    <row r="65" spans="1:11" ht="15.5" x14ac:dyDescent="0.35">
      <c r="A65" s="447" t="s">
        <v>13</v>
      </c>
      <c r="B65" s="52">
        <v>0</v>
      </c>
      <c r="C65" s="52">
        <v>0</v>
      </c>
      <c r="D65" s="52">
        <v>230</v>
      </c>
      <c r="E65" s="52">
        <v>116</v>
      </c>
      <c r="F65" s="52">
        <f t="shared" si="0"/>
        <v>230</v>
      </c>
      <c r="G65" s="52">
        <f t="shared" si="0"/>
        <v>116</v>
      </c>
      <c r="H65" s="52">
        <v>2716</v>
      </c>
      <c r="I65" s="52">
        <v>1210</v>
      </c>
      <c r="J65" s="52">
        <f>F65+H65</f>
        <v>2946</v>
      </c>
      <c r="K65" s="109">
        <f t="shared" si="1"/>
        <v>1326</v>
      </c>
    </row>
    <row r="66" spans="1:11" ht="15.5" x14ac:dyDescent="0.35">
      <c r="A66" s="447" t="s">
        <v>14</v>
      </c>
      <c r="B66" s="52">
        <v>39</v>
      </c>
      <c r="C66" s="52">
        <v>8</v>
      </c>
      <c r="D66" s="52">
        <v>339</v>
      </c>
      <c r="E66" s="52">
        <v>158</v>
      </c>
      <c r="F66" s="52">
        <f t="shared" si="0"/>
        <v>378</v>
      </c>
      <c r="G66" s="52">
        <f t="shared" si="0"/>
        <v>166</v>
      </c>
      <c r="H66" s="52">
        <f>1361</f>
        <v>1361</v>
      </c>
      <c r="I66" s="52">
        <f>679</f>
        <v>679</v>
      </c>
      <c r="J66" s="52">
        <f t="shared" ref="J66:J74" si="2">F66+H66</f>
        <v>1739</v>
      </c>
      <c r="K66" s="109">
        <f t="shared" si="1"/>
        <v>845</v>
      </c>
    </row>
    <row r="67" spans="1:11" ht="15.5" x14ac:dyDescent="0.35">
      <c r="A67" s="447" t="s">
        <v>15</v>
      </c>
      <c r="B67" s="52">
        <v>0</v>
      </c>
      <c r="C67" s="52">
        <v>0</v>
      </c>
      <c r="D67" s="52">
        <f>340+360</f>
        <v>700</v>
      </c>
      <c r="E67" s="52">
        <f>145+122</f>
        <v>267</v>
      </c>
      <c r="F67" s="52">
        <f t="shared" si="0"/>
        <v>700</v>
      </c>
      <c r="G67" s="52">
        <f t="shared" si="0"/>
        <v>267</v>
      </c>
      <c r="H67" s="52">
        <v>3059</v>
      </c>
      <c r="I67" s="52">
        <v>1409</v>
      </c>
      <c r="J67" s="52">
        <f t="shared" si="2"/>
        <v>3759</v>
      </c>
      <c r="K67" s="109">
        <f t="shared" si="1"/>
        <v>1676</v>
      </c>
    </row>
    <row r="68" spans="1:11" ht="15.5" x14ac:dyDescent="0.35">
      <c r="A68" s="447" t="s">
        <v>16</v>
      </c>
      <c r="B68" s="52">
        <v>1206</v>
      </c>
      <c r="C68" s="52">
        <v>401</v>
      </c>
      <c r="D68" s="52">
        <v>566</v>
      </c>
      <c r="E68" s="52">
        <v>249</v>
      </c>
      <c r="F68" s="52">
        <f t="shared" si="0"/>
        <v>1772</v>
      </c>
      <c r="G68" s="52">
        <f t="shared" si="0"/>
        <v>650</v>
      </c>
      <c r="H68" s="52">
        <v>4816</v>
      </c>
      <c r="I68" s="52">
        <v>1758</v>
      </c>
      <c r="J68" s="52">
        <f t="shared" si="2"/>
        <v>6588</v>
      </c>
      <c r="K68" s="109">
        <f t="shared" si="1"/>
        <v>2408</v>
      </c>
    </row>
    <row r="69" spans="1:11" ht="15.5" x14ac:dyDescent="0.35">
      <c r="A69" s="447" t="s">
        <v>17</v>
      </c>
      <c r="B69" s="52">
        <v>3025</v>
      </c>
      <c r="C69" s="52">
        <v>1351</v>
      </c>
      <c r="D69" s="52">
        <v>0</v>
      </c>
      <c r="E69" s="52">
        <v>0</v>
      </c>
      <c r="F69" s="52">
        <f t="shared" si="0"/>
        <v>3025</v>
      </c>
      <c r="G69" s="52">
        <f t="shared" si="0"/>
        <v>1351</v>
      </c>
      <c r="H69" s="52">
        <v>6761</v>
      </c>
      <c r="I69" s="52">
        <v>2422</v>
      </c>
      <c r="J69" s="52">
        <f t="shared" si="2"/>
        <v>9786</v>
      </c>
      <c r="K69" s="109">
        <f t="shared" si="1"/>
        <v>3773</v>
      </c>
    </row>
    <row r="70" spans="1:11" ht="15.5" x14ac:dyDescent="0.35">
      <c r="A70" s="447" t="s">
        <v>18</v>
      </c>
      <c r="B70" s="52">
        <v>719</v>
      </c>
      <c r="C70" s="52">
        <v>274</v>
      </c>
      <c r="D70" s="52">
        <v>588</v>
      </c>
      <c r="E70" s="52">
        <v>294</v>
      </c>
      <c r="F70" s="52">
        <f t="shared" si="0"/>
        <v>1307</v>
      </c>
      <c r="G70" s="52">
        <f t="shared" si="0"/>
        <v>568</v>
      </c>
      <c r="H70" s="52">
        <v>5071</v>
      </c>
      <c r="I70" s="52">
        <v>1902</v>
      </c>
      <c r="J70" s="52">
        <f t="shared" si="2"/>
        <v>6378</v>
      </c>
      <c r="K70" s="109">
        <f t="shared" si="1"/>
        <v>2470</v>
      </c>
    </row>
    <row r="71" spans="1:11" ht="15.5" x14ac:dyDescent="0.35">
      <c r="A71" s="447" t="s">
        <v>19</v>
      </c>
      <c r="B71" s="52">
        <v>0</v>
      </c>
      <c r="C71" s="52">
        <v>0</v>
      </c>
      <c r="D71" s="52">
        <v>572</v>
      </c>
      <c r="E71" s="52">
        <v>260</v>
      </c>
      <c r="F71" s="52">
        <f t="shared" si="0"/>
        <v>572</v>
      </c>
      <c r="G71" s="52">
        <f t="shared" si="0"/>
        <v>260</v>
      </c>
      <c r="H71" s="52">
        <v>2412</v>
      </c>
      <c r="I71" s="52">
        <v>1134</v>
      </c>
      <c r="J71" s="52">
        <f t="shared" si="2"/>
        <v>2984</v>
      </c>
      <c r="K71" s="109">
        <f t="shared" si="1"/>
        <v>1394</v>
      </c>
    </row>
    <row r="72" spans="1:11" ht="15.5" x14ac:dyDescent="0.35">
      <c r="A72" s="447" t="s">
        <v>20</v>
      </c>
      <c r="B72" s="52">
        <v>0</v>
      </c>
      <c r="C72" s="52">
        <v>0</v>
      </c>
      <c r="D72" s="52">
        <v>310</v>
      </c>
      <c r="E72" s="52">
        <v>161</v>
      </c>
      <c r="F72" s="52">
        <f t="shared" si="0"/>
        <v>310</v>
      </c>
      <c r="G72" s="52">
        <f t="shared" si="0"/>
        <v>161</v>
      </c>
      <c r="H72" s="52">
        <v>1866</v>
      </c>
      <c r="I72" s="52">
        <v>1056</v>
      </c>
      <c r="J72" s="52">
        <f t="shared" si="2"/>
        <v>2176</v>
      </c>
      <c r="K72" s="109">
        <f t="shared" si="1"/>
        <v>1217</v>
      </c>
    </row>
    <row r="73" spans="1:11" ht="15.5" x14ac:dyDescent="0.35">
      <c r="A73" s="447" t="s">
        <v>21</v>
      </c>
      <c r="B73" s="52">
        <v>0</v>
      </c>
      <c r="C73" s="52">
        <v>0</v>
      </c>
      <c r="D73" s="52">
        <v>256</v>
      </c>
      <c r="E73" s="52">
        <v>123</v>
      </c>
      <c r="F73" s="52">
        <f t="shared" si="0"/>
        <v>256</v>
      </c>
      <c r="G73" s="52">
        <f t="shared" si="0"/>
        <v>123</v>
      </c>
      <c r="H73" s="52">
        <v>1395</v>
      </c>
      <c r="I73" s="52">
        <v>836</v>
      </c>
      <c r="J73" s="52">
        <f t="shared" si="2"/>
        <v>1651</v>
      </c>
      <c r="K73" s="109">
        <f t="shared" si="1"/>
        <v>959</v>
      </c>
    </row>
    <row r="74" spans="1:11" ht="16" thickBot="1" x14ac:dyDescent="0.4">
      <c r="A74" s="448" t="s">
        <v>22</v>
      </c>
      <c r="B74" s="449">
        <v>0</v>
      </c>
      <c r="C74" s="449">
        <v>0</v>
      </c>
      <c r="D74" s="449">
        <v>278</v>
      </c>
      <c r="E74" s="449">
        <v>130</v>
      </c>
      <c r="F74" s="450">
        <f t="shared" si="0"/>
        <v>278</v>
      </c>
      <c r="G74" s="450">
        <f t="shared" si="0"/>
        <v>130</v>
      </c>
      <c r="H74" s="449">
        <v>1195</v>
      </c>
      <c r="I74" s="449">
        <v>662</v>
      </c>
      <c r="J74" s="449">
        <f t="shared" si="2"/>
        <v>1473</v>
      </c>
      <c r="K74" s="451">
        <f t="shared" si="1"/>
        <v>792</v>
      </c>
    </row>
    <row r="75" spans="1:11" ht="15.5" x14ac:dyDescent="0.35">
      <c r="A75" s="110" t="s">
        <v>184</v>
      </c>
      <c r="B75" s="452">
        <f>SUM(B63:B74)</f>
        <v>4989</v>
      </c>
      <c r="C75" s="452">
        <f t="shared" ref="C75:K75" si="3">SUM(C63:C74)</f>
        <v>2034</v>
      </c>
      <c r="D75" s="452">
        <f t="shared" si="3"/>
        <v>4205</v>
      </c>
      <c r="E75" s="452">
        <f t="shared" si="3"/>
        <v>1935</v>
      </c>
      <c r="F75" s="452">
        <f t="shared" si="3"/>
        <v>9194</v>
      </c>
      <c r="G75" s="452">
        <f t="shared" si="3"/>
        <v>3969</v>
      </c>
      <c r="H75" s="452">
        <f t="shared" si="3"/>
        <v>32845</v>
      </c>
      <c r="I75" s="452">
        <f t="shared" si="3"/>
        <v>14316</v>
      </c>
      <c r="J75" s="452">
        <f t="shared" si="3"/>
        <v>42039</v>
      </c>
      <c r="K75" s="313">
        <f t="shared" si="3"/>
        <v>18285</v>
      </c>
    </row>
    <row r="76" spans="1:11" ht="16" thickBot="1" x14ac:dyDescent="0.4">
      <c r="A76" s="111" t="s">
        <v>108</v>
      </c>
      <c r="B76" s="53">
        <v>3922</v>
      </c>
      <c r="C76" s="53">
        <v>1669</v>
      </c>
      <c r="D76" s="53">
        <v>3785</v>
      </c>
      <c r="E76" s="53">
        <v>1749</v>
      </c>
      <c r="F76" s="53">
        <v>7707</v>
      </c>
      <c r="G76" s="53">
        <v>3418</v>
      </c>
      <c r="H76" s="53">
        <v>32627</v>
      </c>
      <c r="I76" s="53">
        <v>17106</v>
      </c>
      <c r="J76" s="53">
        <v>40334</v>
      </c>
      <c r="K76" s="112">
        <v>20524</v>
      </c>
    </row>
    <row r="77" spans="1:11" ht="16.5" thickTop="1" thickBot="1" x14ac:dyDescent="0.4">
      <c r="A77" s="113" t="s">
        <v>23</v>
      </c>
      <c r="B77" s="114">
        <f t="shared" ref="B77:K77" si="4">B75-B76</f>
        <v>1067</v>
      </c>
      <c r="C77" s="114">
        <f t="shared" si="4"/>
        <v>365</v>
      </c>
      <c r="D77" s="114">
        <f t="shared" si="4"/>
        <v>420</v>
      </c>
      <c r="E77" s="114">
        <f t="shared" si="4"/>
        <v>186</v>
      </c>
      <c r="F77" s="114">
        <f t="shared" si="4"/>
        <v>1487</v>
      </c>
      <c r="G77" s="114">
        <f t="shared" si="4"/>
        <v>551</v>
      </c>
      <c r="H77" s="114">
        <f t="shared" si="4"/>
        <v>218</v>
      </c>
      <c r="I77" s="114">
        <f t="shared" si="4"/>
        <v>-2790</v>
      </c>
      <c r="J77" s="114">
        <f t="shared" si="4"/>
        <v>1705</v>
      </c>
      <c r="K77" s="115">
        <f t="shared" si="4"/>
        <v>-2239</v>
      </c>
    </row>
    <row r="79" spans="1:11" ht="12.75" customHeight="1" thickBot="1" x14ac:dyDescent="0.3"/>
    <row r="80" spans="1:11" ht="12.75" customHeight="1" x14ac:dyDescent="0.25">
      <c r="B80" s="368"/>
      <c r="C80" s="369"/>
      <c r="D80" s="369"/>
      <c r="E80" s="369"/>
      <c r="F80" s="369"/>
      <c r="G80" s="369"/>
      <c r="H80" s="369"/>
      <c r="I80" s="370"/>
    </row>
    <row r="81" spans="1:11" ht="12.75" customHeight="1" x14ac:dyDescent="0.25">
      <c r="B81" s="371"/>
      <c r="C81" s="453" t="s">
        <v>203</v>
      </c>
      <c r="I81" s="372"/>
    </row>
    <row r="82" spans="1:11" ht="12.75" customHeight="1" thickBot="1" x14ac:dyDescent="0.3">
      <c r="B82" s="373"/>
      <c r="C82" s="374"/>
      <c r="D82" s="374"/>
      <c r="E82" s="374"/>
      <c r="F82" s="374"/>
      <c r="G82" s="374"/>
      <c r="H82" s="374"/>
      <c r="I82" s="375"/>
    </row>
    <row r="84" spans="1:11" ht="12.75" customHeight="1" thickBot="1" x14ac:dyDescent="0.3"/>
    <row r="85" spans="1:11" ht="12.75" customHeight="1" x14ac:dyDescent="0.3">
      <c r="A85" s="424"/>
      <c r="B85" s="425" t="s">
        <v>60</v>
      </c>
      <c r="C85" s="426"/>
      <c r="D85" s="427" t="s">
        <v>61</v>
      </c>
      <c r="E85" s="428"/>
      <c r="F85" s="425" t="s">
        <v>37</v>
      </c>
      <c r="G85" s="429"/>
      <c r="H85" s="425" t="s">
        <v>59</v>
      </c>
      <c r="I85" s="429"/>
      <c r="J85" s="430" t="s">
        <v>38</v>
      </c>
      <c r="K85" s="431"/>
    </row>
    <row r="86" spans="1:11" ht="12.75" customHeight="1" x14ac:dyDescent="0.3">
      <c r="A86" s="432"/>
      <c r="B86" s="433"/>
      <c r="C86" s="434" t="s">
        <v>39</v>
      </c>
      <c r="D86" s="434"/>
      <c r="E86" s="435" t="s">
        <v>50</v>
      </c>
      <c r="F86" s="436" t="s">
        <v>39</v>
      </c>
      <c r="G86" s="437"/>
      <c r="H86" s="436" t="s">
        <v>40</v>
      </c>
      <c r="I86" s="437"/>
      <c r="J86" s="433" t="s">
        <v>41</v>
      </c>
      <c r="K86" s="438"/>
    </row>
    <row r="87" spans="1:11" ht="12.75" customHeight="1" thickBot="1" x14ac:dyDescent="0.35">
      <c r="A87" s="432"/>
      <c r="B87" s="439" t="s">
        <v>42</v>
      </c>
      <c r="C87" s="440"/>
      <c r="D87" s="441" t="s">
        <v>42</v>
      </c>
      <c r="E87" s="442"/>
      <c r="F87" s="439" t="s">
        <v>42</v>
      </c>
      <c r="G87" s="442"/>
      <c r="H87" s="439" t="s">
        <v>42</v>
      </c>
      <c r="I87" s="442"/>
      <c r="J87" s="443" t="s">
        <v>37</v>
      </c>
      <c r="K87" s="444"/>
    </row>
    <row r="88" spans="1:11" ht="12.75" customHeight="1" thickBot="1" x14ac:dyDescent="0.4">
      <c r="A88" s="445" t="s">
        <v>43</v>
      </c>
      <c r="B88" s="64" t="s">
        <v>1</v>
      </c>
      <c r="C88" s="64" t="s">
        <v>9</v>
      </c>
      <c r="D88" s="64" t="s">
        <v>1</v>
      </c>
      <c r="E88" s="64" t="s">
        <v>9</v>
      </c>
      <c r="F88" s="64" t="s">
        <v>1</v>
      </c>
      <c r="G88" s="64" t="s">
        <v>9</v>
      </c>
      <c r="H88" s="64" t="s">
        <v>1</v>
      </c>
      <c r="I88" s="66" t="s">
        <v>9</v>
      </c>
      <c r="J88" s="56" t="s">
        <v>1</v>
      </c>
      <c r="K88" s="255" t="s">
        <v>9</v>
      </c>
    </row>
    <row r="89" spans="1:11" ht="12.75" customHeight="1" x14ac:dyDescent="0.35">
      <c r="A89" s="446" t="s">
        <v>11</v>
      </c>
      <c r="B89" s="52">
        <v>12</v>
      </c>
      <c r="C89" s="52">
        <v>8</v>
      </c>
      <c r="D89" s="52">
        <v>202</v>
      </c>
      <c r="E89" s="52">
        <v>101</v>
      </c>
      <c r="F89" s="142">
        <f t="shared" ref="F89:G100" si="5">B89+D89</f>
        <v>214</v>
      </c>
      <c r="G89" s="142">
        <f t="shared" si="5"/>
        <v>109</v>
      </c>
      <c r="H89" s="52">
        <v>1046</v>
      </c>
      <c r="I89" s="52">
        <v>621</v>
      </c>
      <c r="J89" s="52">
        <f>F89+H89</f>
        <v>1260</v>
      </c>
      <c r="K89" s="109">
        <f>G89+I89</f>
        <v>730</v>
      </c>
    </row>
    <row r="90" spans="1:11" ht="12.75" customHeight="1" x14ac:dyDescent="0.35">
      <c r="A90" s="447" t="s">
        <v>12</v>
      </c>
      <c r="B90" s="52">
        <v>0</v>
      </c>
      <c r="C90" s="52">
        <v>0</v>
      </c>
      <c r="D90" s="52">
        <v>201</v>
      </c>
      <c r="E90" s="52">
        <v>103</v>
      </c>
      <c r="F90" s="52">
        <f t="shared" si="5"/>
        <v>201</v>
      </c>
      <c r="G90" s="52">
        <f t="shared" si="5"/>
        <v>103</v>
      </c>
      <c r="H90" s="52">
        <v>1019</v>
      </c>
      <c r="I90" s="52">
        <v>610</v>
      </c>
      <c r="J90" s="52">
        <f>F90+H90</f>
        <v>1220</v>
      </c>
      <c r="K90" s="109">
        <f t="shared" ref="K90:K100" si="6">G90+I90</f>
        <v>713</v>
      </c>
    </row>
    <row r="91" spans="1:11" ht="12.75" customHeight="1" x14ac:dyDescent="0.35">
      <c r="A91" s="447" t="s">
        <v>13</v>
      </c>
      <c r="B91" s="52">
        <v>42</v>
      </c>
      <c r="C91" s="52">
        <v>26</v>
      </c>
      <c r="D91" s="52">
        <v>135</v>
      </c>
      <c r="E91" s="52">
        <v>73</v>
      </c>
      <c r="F91" s="52">
        <f t="shared" si="5"/>
        <v>177</v>
      </c>
      <c r="G91" s="52">
        <f t="shared" si="5"/>
        <v>99</v>
      </c>
      <c r="H91" s="52">
        <v>1107</v>
      </c>
      <c r="I91" s="52">
        <v>577</v>
      </c>
      <c r="J91" s="52">
        <f>F91+H91</f>
        <v>1284</v>
      </c>
      <c r="K91" s="109">
        <f t="shared" si="6"/>
        <v>676</v>
      </c>
    </row>
    <row r="92" spans="1:11" ht="12.75" customHeight="1" x14ac:dyDescent="0.35">
      <c r="A92" s="447" t="s">
        <v>14</v>
      </c>
      <c r="B92" s="52">
        <v>9</v>
      </c>
      <c r="C92" s="52">
        <v>3</v>
      </c>
      <c r="D92" s="52">
        <v>132</v>
      </c>
      <c r="E92" s="52">
        <v>82</v>
      </c>
      <c r="F92" s="52">
        <f t="shared" si="5"/>
        <v>141</v>
      </c>
      <c r="G92" s="52">
        <f t="shared" si="5"/>
        <v>85</v>
      </c>
      <c r="H92" s="52">
        <v>1088</v>
      </c>
      <c r="I92" s="52">
        <v>695</v>
      </c>
      <c r="J92" s="52">
        <f t="shared" ref="J92:J100" si="7">F92+H92</f>
        <v>1229</v>
      </c>
      <c r="K92" s="109">
        <f t="shared" si="6"/>
        <v>780</v>
      </c>
    </row>
    <row r="93" spans="1:11" ht="12.75" customHeight="1" x14ac:dyDescent="0.35">
      <c r="A93" s="447" t="s">
        <v>15</v>
      </c>
      <c r="B93" s="52">
        <v>0</v>
      </c>
      <c r="C93" s="52">
        <v>0</v>
      </c>
      <c r="D93" s="52">
        <v>473</v>
      </c>
      <c r="E93" s="52">
        <v>235</v>
      </c>
      <c r="F93" s="52">
        <f t="shared" si="5"/>
        <v>473</v>
      </c>
      <c r="G93" s="52">
        <f t="shared" si="5"/>
        <v>235</v>
      </c>
      <c r="H93" s="52">
        <v>1898</v>
      </c>
      <c r="I93" s="52">
        <v>1072</v>
      </c>
      <c r="J93" s="52">
        <f t="shared" si="7"/>
        <v>2371</v>
      </c>
      <c r="K93" s="109">
        <f t="shared" si="6"/>
        <v>1307</v>
      </c>
    </row>
    <row r="94" spans="1:11" ht="12.75" customHeight="1" x14ac:dyDescent="0.35">
      <c r="A94" s="447" t="s">
        <v>16</v>
      </c>
      <c r="B94" s="52">
        <v>1202</v>
      </c>
      <c r="C94" s="52">
        <v>540</v>
      </c>
      <c r="D94" s="52">
        <v>413</v>
      </c>
      <c r="E94" s="52">
        <v>209</v>
      </c>
      <c r="F94" s="52">
        <f>B94+D94</f>
        <v>1615</v>
      </c>
      <c r="G94" s="52">
        <f t="shared" si="5"/>
        <v>749</v>
      </c>
      <c r="H94" s="52">
        <v>4442</v>
      </c>
      <c r="I94" s="52">
        <v>1876</v>
      </c>
      <c r="J94" s="52">
        <f t="shared" si="7"/>
        <v>6057</v>
      </c>
      <c r="K94" s="109">
        <f t="shared" si="6"/>
        <v>2625</v>
      </c>
    </row>
    <row r="95" spans="1:11" ht="12.75" customHeight="1" x14ac:dyDescent="0.35">
      <c r="A95" s="447" t="s">
        <v>17</v>
      </c>
      <c r="B95" s="52">
        <v>3436</v>
      </c>
      <c r="C95" s="52">
        <v>1519</v>
      </c>
      <c r="D95" s="52">
        <v>182</v>
      </c>
      <c r="E95" s="52">
        <v>97</v>
      </c>
      <c r="F95" s="52">
        <f>B95+D95</f>
        <v>3618</v>
      </c>
      <c r="G95" s="52">
        <f t="shared" si="5"/>
        <v>1616</v>
      </c>
      <c r="H95" s="52">
        <v>7054</v>
      </c>
      <c r="I95" s="52">
        <v>2656</v>
      </c>
      <c r="J95" s="52">
        <f t="shared" si="7"/>
        <v>10672</v>
      </c>
      <c r="K95" s="109">
        <f t="shared" si="6"/>
        <v>4272</v>
      </c>
    </row>
    <row r="96" spans="1:11" ht="12.75" customHeight="1" x14ac:dyDescent="0.35">
      <c r="A96" s="447" t="s">
        <v>18</v>
      </c>
      <c r="B96" s="52"/>
      <c r="C96" s="52"/>
      <c r="D96" s="52"/>
      <c r="E96" s="52"/>
      <c r="F96" s="52">
        <f t="shared" si="5"/>
        <v>0</v>
      </c>
      <c r="G96" s="52">
        <f t="shared" si="5"/>
        <v>0</v>
      </c>
      <c r="H96" s="52"/>
      <c r="I96" s="52"/>
      <c r="J96" s="52">
        <f t="shared" si="7"/>
        <v>0</v>
      </c>
      <c r="K96" s="109">
        <f t="shared" si="6"/>
        <v>0</v>
      </c>
    </row>
    <row r="97" spans="1:11" ht="12.75" customHeight="1" x14ac:dyDescent="0.35">
      <c r="A97" s="447" t="s">
        <v>19</v>
      </c>
      <c r="B97" s="52"/>
      <c r="C97" s="52"/>
      <c r="D97" s="52"/>
      <c r="E97" s="52"/>
      <c r="F97" s="52">
        <f t="shared" si="5"/>
        <v>0</v>
      </c>
      <c r="G97" s="52">
        <f t="shared" si="5"/>
        <v>0</v>
      </c>
      <c r="H97" s="52"/>
      <c r="I97" s="52"/>
      <c r="J97" s="52">
        <f t="shared" si="7"/>
        <v>0</v>
      </c>
      <c r="K97" s="109">
        <f t="shared" si="6"/>
        <v>0</v>
      </c>
    </row>
    <row r="98" spans="1:11" ht="12.75" customHeight="1" x14ac:dyDescent="0.35">
      <c r="A98" s="447" t="s">
        <v>20</v>
      </c>
      <c r="B98" s="52"/>
      <c r="C98" s="52"/>
      <c r="D98" s="52"/>
      <c r="E98" s="52"/>
      <c r="F98" s="52">
        <f t="shared" si="5"/>
        <v>0</v>
      </c>
      <c r="G98" s="52">
        <f t="shared" si="5"/>
        <v>0</v>
      </c>
      <c r="H98" s="52"/>
      <c r="I98" s="52"/>
      <c r="J98" s="52">
        <f t="shared" si="7"/>
        <v>0</v>
      </c>
      <c r="K98" s="109">
        <f t="shared" si="6"/>
        <v>0</v>
      </c>
    </row>
    <row r="99" spans="1:11" ht="12.75" customHeight="1" x14ac:dyDescent="0.35">
      <c r="A99" s="447" t="s">
        <v>21</v>
      </c>
      <c r="B99" s="52"/>
      <c r="C99" s="52"/>
      <c r="D99" s="52"/>
      <c r="E99" s="52"/>
      <c r="F99" s="52">
        <f t="shared" si="5"/>
        <v>0</v>
      </c>
      <c r="G99" s="52">
        <f t="shared" si="5"/>
        <v>0</v>
      </c>
      <c r="H99" s="52"/>
      <c r="I99" s="52"/>
      <c r="J99" s="52">
        <f t="shared" si="7"/>
        <v>0</v>
      </c>
      <c r="K99" s="109">
        <f t="shared" si="6"/>
        <v>0</v>
      </c>
    </row>
    <row r="100" spans="1:11" ht="12.75" customHeight="1" thickBot="1" x14ac:dyDescent="0.4">
      <c r="A100" s="448" t="s">
        <v>22</v>
      </c>
      <c r="B100" s="449"/>
      <c r="C100" s="449"/>
      <c r="D100" s="449"/>
      <c r="E100" s="449"/>
      <c r="F100" s="450">
        <f t="shared" si="5"/>
        <v>0</v>
      </c>
      <c r="G100" s="450">
        <f t="shared" si="5"/>
        <v>0</v>
      </c>
      <c r="H100" s="449"/>
      <c r="I100" s="449"/>
      <c r="J100" s="449">
        <f t="shared" si="7"/>
        <v>0</v>
      </c>
      <c r="K100" s="451">
        <f t="shared" si="6"/>
        <v>0</v>
      </c>
    </row>
    <row r="101" spans="1:11" ht="12.75" customHeight="1" x14ac:dyDescent="0.35">
      <c r="A101" s="110" t="s">
        <v>184</v>
      </c>
      <c r="B101" s="452">
        <f>SUM(B89:B100)</f>
        <v>4701</v>
      </c>
      <c r="C101" s="452">
        <f t="shared" ref="C101:K101" si="8">SUM(C89:C100)</f>
        <v>2096</v>
      </c>
      <c r="D101" s="452">
        <f t="shared" si="8"/>
        <v>1738</v>
      </c>
      <c r="E101" s="452">
        <f t="shared" si="8"/>
        <v>900</v>
      </c>
      <c r="F101" s="452">
        <f t="shared" si="8"/>
        <v>6439</v>
      </c>
      <c r="G101" s="452">
        <f t="shared" si="8"/>
        <v>2996</v>
      </c>
      <c r="H101" s="452">
        <f t="shared" si="8"/>
        <v>17654</v>
      </c>
      <c r="I101" s="452">
        <f t="shared" si="8"/>
        <v>8107</v>
      </c>
      <c r="J101" s="452">
        <f t="shared" si="8"/>
        <v>24093</v>
      </c>
      <c r="K101" s="313">
        <f t="shared" si="8"/>
        <v>11103</v>
      </c>
    </row>
    <row r="102" spans="1:11" ht="12.75" customHeight="1" thickBot="1" x14ac:dyDescent="0.4">
      <c r="A102" s="111" t="s">
        <v>108</v>
      </c>
      <c r="B102" s="53">
        <v>3922</v>
      </c>
      <c r="C102" s="53">
        <v>1669</v>
      </c>
      <c r="D102" s="53">
        <v>3785</v>
      </c>
      <c r="E102" s="53">
        <v>1749</v>
      </c>
      <c r="F102" s="53">
        <v>7707</v>
      </c>
      <c r="G102" s="53">
        <v>3418</v>
      </c>
      <c r="H102" s="53">
        <v>32627</v>
      </c>
      <c r="I102" s="53">
        <v>17106</v>
      </c>
      <c r="J102" s="53">
        <v>40334</v>
      </c>
      <c r="K102" s="112">
        <v>20524</v>
      </c>
    </row>
    <row r="103" spans="1:11" ht="12.75" customHeight="1" thickTop="1" thickBot="1" x14ac:dyDescent="0.4">
      <c r="A103" s="113" t="s">
        <v>23</v>
      </c>
      <c r="B103" s="114">
        <f t="shared" ref="B103:K103" si="9">B101-B102</f>
        <v>779</v>
      </c>
      <c r="C103" s="114">
        <f t="shared" si="9"/>
        <v>427</v>
      </c>
      <c r="D103" s="114">
        <f t="shared" si="9"/>
        <v>-2047</v>
      </c>
      <c r="E103" s="114">
        <f t="shared" si="9"/>
        <v>-849</v>
      </c>
      <c r="F103" s="114">
        <f t="shared" si="9"/>
        <v>-1268</v>
      </c>
      <c r="G103" s="114">
        <f t="shared" si="9"/>
        <v>-422</v>
      </c>
      <c r="H103" s="114">
        <f t="shared" si="9"/>
        <v>-14973</v>
      </c>
      <c r="I103" s="114">
        <f t="shared" si="9"/>
        <v>-8999</v>
      </c>
      <c r="J103" s="114">
        <f t="shared" si="9"/>
        <v>-16241</v>
      </c>
      <c r="K103" s="115">
        <f t="shared" si="9"/>
        <v>-9421</v>
      </c>
    </row>
  </sheetData>
  <mergeCells count="44">
    <mergeCell ref="C86:D86"/>
    <mergeCell ref="F86:G86"/>
    <mergeCell ref="H86:I86"/>
    <mergeCell ref="B87:C87"/>
    <mergeCell ref="D87:E87"/>
    <mergeCell ref="F87:G87"/>
    <mergeCell ref="H87:I87"/>
    <mergeCell ref="B61:C61"/>
    <mergeCell ref="D61:E61"/>
    <mergeCell ref="F61:G61"/>
    <mergeCell ref="H61:I61"/>
    <mergeCell ref="B85:C85"/>
    <mergeCell ref="D85:E85"/>
    <mergeCell ref="F85:G85"/>
    <mergeCell ref="H85:I85"/>
    <mergeCell ref="B59:C59"/>
    <mergeCell ref="D59:E59"/>
    <mergeCell ref="F59:G59"/>
    <mergeCell ref="H59:I59"/>
    <mergeCell ref="C60:D60"/>
    <mergeCell ref="F60:G60"/>
    <mergeCell ref="H60:I60"/>
    <mergeCell ref="C34:D34"/>
    <mergeCell ref="F34:G34"/>
    <mergeCell ref="H34:I34"/>
    <mergeCell ref="B35:C35"/>
    <mergeCell ref="D35:E35"/>
    <mergeCell ref="F35:G35"/>
    <mergeCell ref="H35:I35"/>
    <mergeCell ref="B8:C8"/>
    <mergeCell ref="D8:E8"/>
    <mergeCell ref="F8:G8"/>
    <mergeCell ref="H8:I8"/>
    <mergeCell ref="B33:C33"/>
    <mergeCell ref="D33:E33"/>
    <mergeCell ref="F33:G33"/>
    <mergeCell ref="H33:I33"/>
    <mergeCell ref="B6:C6"/>
    <mergeCell ref="D6:E6"/>
    <mergeCell ref="F6:G6"/>
    <mergeCell ref="H6:I6"/>
    <mergeCell ref="C7:D7"/>
    <mergeCell ref="F7:G7"/>
    <mergeCell ref="H7:I7"/>
  </mergeCells>
  <phoneticPr fontId="4" type="noConversion"/>
  <pageMargins left="0.59055118110236227" right="0.19685039370078741" top="0.98425196850393704" bottom="0.98425196850393704" header="0.51181102362204722" footer="0.51181102362204722"/>
  <pageSetup paperSize="9" scale="1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6BDE4-33A6-44EC-A03B-DCBFEB5840CD}">
  <dimension ref="A4:S46"/>
  <sheetViews>
    <sheetView workbookViewId="0">
      <selection activeCell="S24" sqref="S24"/>
    </sheetView>
  </sheetViews>
  <sheetFormatPr defaultRowHeight="12.5" x14ac:dyDescent="0.25"/>
  <sheetData>
    <row r="4" spans="1:15" x14ac:dyDescent="0.25">
      <c r="B4" s="332"/>
      <c r="C4" s="333"/>
      <c r="D4" s="333"/>
      <c r="E4" s="333"/>
      <c r="F4" s="333"/>
      <c r="G4" s="333"/>
      <c r="H4" s="333"/>
      <c r="I4" s="333"/>
      <c r="J4" s="333"/>
      <c r="K4" s="334"/>
    </row>
    <row r="5" spans="1:15" ht="18" x14ac:dyDescent="0.25">
      <c r="B5" s="25"/>
      <c r="C5" s="3" t="s">
        <v>50</v>
      </c>
      <c r="F5" s="335" t="s">
        <v>142</v>
      </c>
      <c r="K5" s="337"/>
    </row>
    <row r="6" spans="1:15" x14ac:dyDescent="0.25">
      <c r="B6" s="86"/>
      <c r="C6" s="4"/>
      <c r="D6" s="4"/>
      <c r="E6" s="4"/>
      <c r="F6" s="4"/>
      <c r="G6" s="4"/>
      <c r="H6" s="4"/>
      <c r="I6" s="4"/>
      <c r="J6" s="4"/>
      <c r="K6" s="97"/>
    </row>
    <row r="7" spans="1:15" ht="13" thickBot="1" x14ac:dyDescent="0.3"/>
    <row r="8" spans="1:15" ht="13.5" thickBot="1" x14ac:dyDescent="0.35">
      <c r="A8" s="343" t="s">
        <v>0</v>
      </c>
      <c r="B8" s="344" t="s">
        <v>1</v>
      </c>
      <c r="C8" s="344" t="s">
        <v>2</v>
      </c>
      <c r="D8" s="344" t="s">
        <v>3</v>
      </c>
      <c r="E8" s="344" t="s">
        <v>4</v>
      </c>
      <c r="F8" s="344" t="s">
        <v>143</v>
      </c>
      <c r="G8" s="344" t="s">
        <v>45</v>
      </c>
      <c r="H8" s="344" t="s">
        <v>46</v>
      </c>
      <c r="I8" s="344" t="s">
        <v>48</v>
      </c>
      <c r="J8" s="344" t="s">
        <v>47</v>
      </c>
      <c r="K8" s="344" t="s">
        <v>55</v>
      </c>
      <c r="L8" s="344" t="s">
        <v>6</v>
      </c>
      <c r="M8" s="345" t="s">
        <v>44</v>
      </c>
      <c r="N8" s="346" t="s">
        <v>8</v>
      </c>
      <c r="O8" s="347" t="s">
        <v>10</v>
      </c>
    </row>
    <row r="9" spans="1:15" ht="13" x14ac:dyDescent="0.3">
      <c r="A9" s="348" t="s">
        <v>11</v>
      </c>
      <c r="B9" s="10"/>
      <c r="C9" s="10"/>
      <c r="D9" s="10"/>
      <c r="E9" s="10"/>
      <c r="F9" s="10"/>
      <c r="G9" s="14"/>
      <c r="H9" s="14"/>
      <c r="I9" s="14"/>
      <c r="J9" s="14"/>
      <c r="K9" s="10"/>
      <c r="L9" s="10"/>
      <c r="M9" s="31"/>
      <c r="N9" s="349"/>
      <c r="O9" s="350"/>
    </row>
    <row r="10" spans="1:15" ht="13" x14ac:dyDescent="0.3">
      <c r="A10" s="351" t="s">
        <v>12</v>
      </c>
      <c r="B10" s="10"/>
      <c r="C10" s="10"/>
      <c r="D10" s="10"/>
      <c r="E10" s="10"/>
      <c r="F10" s="10"/>
      <c r="G10" s="14"/>
      <c r="H10" s="14"/>
      <c r="I10" s="14"/>
      <c r="J10" s="14"/>
      <c r="K10" s="10"/>
      <c r="L10" s="10"/>
      <c r="M10" s="31"/>
      <c r="N10" s="352"/>
      <c r="O10" s="353"/>
    </row>
    <row r="11" spans="1:15" ht="13" x14ac:dyDescent="0.3">
      <c r="A11" s="351" t="s">
        <v>13</v>
      </c>
      <c r="B11" s="10"/>
      <c r="C11" s="10"/>
      <c r="D11" s="10"/>
      <c r="E11" s="10"/>
      <c r="F11" s="10"/>
      <c r="G11" s="14"/>
      <c r="H11" s="14"/>
      <c r="I11" s="14"/>
      <c r="J11" s="14"/>
      <c r="K11" s="10"/>
      <c r="L11" s="10"/>
      <c r="M11" s="31"/>
      <c r="N11" s="352"/>
      <c r="O11" s="353"/>
    </row>
    <row r="12" spans="1:15" ht="13" x14ac:dyDescent="0.3">
      <c r="A12" s="354" t="s">
        <v>14</v>
      </c>
      <c r="B12" s="16"/>
      <c r="C12" s="16"/>
      <c r="D12" s="16"/>
      <c r="E12" s="16"/>
      <c r="F12" s="16"/>
      <c r="G12" s="329"/>
      <c r="H12" s="329"/>
      <c r="I12" s="329"/>
      <c r="J12" s="329"/>
      <c r="K12" s="16"/>
      <c r="L12" s="16"/>
      <c r="M12" s="31"/>
      <c r="N12" s="352"/>
      <c r="O12" s="353"/>
    </row>
    <row r="13" spans="1:15" ht="13" x14ac:dyDescent="0.3">
      <c r="A13" s="351" t="s">
        <v>15</v>
      </c>
      <c r="B13" s="10"/>
      <c r="C13" s="10"/>
      <c r="D13" s="10"/>
      <c r="E13" s="10"/>
      <c r="F13" s="10"/>
      <c r="G13" s="14"/>
      <c r="H13" s="14"/>
      <c r="I13" s="14"/>
      <c r="J13" s="14"/>
      <c r="K13" s="10"/>
      <c r="L13" s="10"/>
      <c r="M13" s="31"/>
      <c r="N13" s="352"/>
      <c r="O13" s="353"/>
    </row>
    <row r="14" spans="1:15" ht="13" x14ac:dyDescent="0.3">
      <c r="A14" s="351" t="s">
        <v>16</v>
      </c>
      <c r="B14" s="10"/>
      <c r="C14" s="10"/>
      <c r="D14" s="10"/>
      <c r="E14" s="10"/>
      <c r="F14" s="10"/>
      <c r="G14" s="14"/>
      <c r="H14" s="14"/>
      <c r="I14" s="14"/>
      <c r="J14" s="14"/>
      <c r="K14" s="10"/>
      <c r="L14" s="10"/>
      <c r="M14" s="31"/>
      <c r="N14" s="352"/>
      <c r="O14" s="353"/>
    </row>
    <row r="15" spans="1:15" ht="13" x14ac:dyDescent="0.3">
      <c r="A15" s="351" t="s">
        <v>17</v>
      </c>
      <c r="B15" s="10"/>
      <c r="C15" s="10"/>
      <c r="D15" s="10"/>
      <c r="E15" s="10"/>
      <c r="F15" s="10"/>
      <c r="G15" s="14"/>
      <c r="H15" s="14"/>
      <c r="I15" s="14"/>
      <c r="J15" s="14"/>
      <c r="K15" s="10"/>
      <c r="L15" s="10"/>
      <c r="M15" s="31"/>
      <c r="N15" s="352"/>
      <c r="O15" s="353"/>
    </row>
    <row r="16" spans="1:15" ht="13" x14ac:dyDescent="0.3">
      <c r="A16" s="351" t="s">
        <v>18</v>
      </c>
      <c r="B16" s="10"/>
      <c r="C16" s="10"/>
      <c r="D16" s="10"/>
      <c r="E16" s="10"/>
      <c r="F16" s="10"/>
      <c r="G16" s="14"/>
      <c r="H16" s="14"/>
      <c r="I16" s="14"/>
      <c r="J16" s="14"/>
      <c r="K16" s="10"/>
      <c r="L16" s="10"/>
      <c r="M16" s="31"/>
      <c r="N16" s="352"/>
      <c r="O16" s="353"/>
    </row>
    <row r="17" spans="1:19" ht="13" x14ac:dyDescent="0.3">
      <c r="A17" s="351" t="s">
        <v>19</v>
      </c>
      <c r="B17" s="10">
        <v>487</v>
      </c>
      <c r="C17" s="10">
        <v>226</v>
      </c>
      <c r="D17" s="102">
        <v>43</v>
      </c>
      <c r="E17" s="10">
        <v>3</v>
      </c>
      <c r="F17" s="10">
        <v>8</v>
      </c>
      <c r="G17" s="14">
        <v>0</v>
      </c>
      <c r="H17" s="14">
        <v>4</v>
      </c>
      <c r="I17" s="14">
        <v>4</v>
      </c>
      <c r="J17" s="14">
        <v>0</v>
      </c>
      <c r="K17" s="10">
        <v>9</v>
      </c>
      <c r="L17" s="10">
        <v>0</v>
      </c>
      <c r="M17" s="31">
        <v>0</v>
      </c>
      <c r="N17" s="352">
        <v>297</v>
      </c>
      <c r="O17" s="353">
        <v>430</v>
      </c>
      <c r="Q17" s="338" t="s">
        <v>144</v>
      </c>
      <c r="R17" s="327"/>
      <c r="S17" s="327"/>
    </row>
    <row r="18" spans="1:19" ht="13" x14ac:dyDescent="0.3">
      <c r="A18" s="351" t="s">
        <v>20</v>
      </c>
      <c r="B18" s="10">
        <v>495</v>
      </c>
      <c r="C18" s="10">
        <v>265</v>
      </c>
      <c r="D18" s="10">
        <v>41</v>
      </c>
      <c r="E18" s="10">
        <v>0</v>
      </c>
      <c r="F18" s="10">
        <v>12</v>
      </c>
      <c r="G18" s="14">
        <v>0</v>
      </c>
      <c r="H18" s="14">
        <v>2</v>
      </c>
      <c r="I18" s="14">
        <v>3</v>
      </c>
      <c r="J18" s="14">
        <v>4</v>
      </c>
      <c r="K18" s="10">
        <v>12</v>
      </c>
      <c r="L18" s="10">
        <v>0</v>
      </c>
      <c r="M18" s="31">
        <v>0</v>
      </c>
      <c r="N18" s="352">
        <f>SUM(C18:L18)</f>
        <v>339</v>
      </c>
      <c r="O18" s="353">
        <v>416</v>
      </c>
    </row>
    <row r="19" spans="1:19" ht="13" x14ac:dyDescent="0.3">
      <c r="A19" s="351" t="s">
        <v>21</v>
      </c>
      <c r="B19" s="10">
        <v>351</v>
      </c>
      <c r="C19" s="10">
        <v>198</v>
      </c>
      <c r="D19" s="10">
        <v>34</v>
      </c>
      <c r="E19" s="10">
        <v>0</v>
      </c>
      <c r="F19" s="10">
        <v>8</v>
      </c>
      <c r="G19" s="10">
        <v>0</v>
      </c>
      <c r="H19" s="10">
        <v>0</v>
      </c>
      <c r="I19" s="10">
        <v>0</v>
      </c>
      <c r="J19" s="10">
        <v>1</v>
      </c>
      <c r="K19" s="10">
        <v>16</v>
      </c>
      <c r="L19" s="10">
        <v>0</v>
      </c>
      <c r="M19" s="31">
        <v>0</v>
      </c>
      <c r="N19" s="352">
        <f>SUM(C19:M19)</f>
        <v>257</v>
      </c>
      <c r="O19" s="353">
        <v>308</v>
      </c>
    </row>
    <row r="20" spans="1:19" ht="13.5" thickBot="1" x14ac:dyDescent="0.35">
      <c r="A20" s="355" t="s">
        <v>22</v>
      </c>
      <c r="B20" s="10">
        <v>266</v>
      </c>
      <c r="C20" s="10">
        <v>156</v>
      </c>
      <c r="D20" s="10">
        <v>17</v>
      </c>
      <c r="E20" s="10">
        <v>0</v>
      </c>
      <c r="F20" s="10">
        <v>3</v>
      </c>
      <c r="G20" s="14">
        <v>0</v>
      </c>
      <c r="H20" s="14">
        <v>2</v>
      </c>
      <c r="I20" s="14">
        <v>0</v>
      </c>
      <c r="J20" s="14">
        <v>1</v>
      </c>
      <c r="K20" s="10">
        <v>4</v>
      </c>
      <c r="L20" s="10">
        <v>0</v>
      </c>
      <c r="M20" s="31">
        <v>0</v>
      </c>
      <c r="N20" s="356">
        <f>SUM(C20:M20)</f>
        <v>183</v>
      </c>
      <c r="O20" s="357">
        <v>115</v>
      </c>
    </row>
    <row r="21" spans="1:19" ht="13" x14ac:dyDescent="0.3">
      <c r="A21" s="358" t="s">
        <v>131</v>
      </c>
      <c r="B21" s="359">
        <f>SUM(B9:B20)</f>
        <v>1599</v>
      </c>
      <c r="C21" s="359">
        <f t="shared" ref="C21:O21" si="0">SUM(C9:C20)</f>
        <v>845</v>
      </c>
      <c r="D21" s="359">
        <f t="shared" si="0"/>
        <v>135</v>
      </c>
      <c r="E21" s="359">
        <f t="shared" si="0"/>
        <v>3</v>
      </c>
      <c r="F21" s="359">
        <f t="shared" si="0"/>
        <v>31</v>
      </c>
      <c r="G21" s="360">
        <f t="shared" si="0"/>
        <v>0</v>
      </c>
      <c r="H21" s="360">
        <f t="shared" si="0"/>
        <v>8</v>
      </c>
      <c r="I21" s="359">
        <f t="shared" si="0"/>
        <v>7</v>
      </c>
      <c r="J21" s="359">
        <f t="shared" si="0"/>
        <v>6</v>
      </c>
      <c r="K21" s="359">
        <f>SUM(K9:K20)</f>
        <v>41</v>
      </c>
      <c r="L21" s="359">
        <f t="shared" si="0"/>
        <v>0</v>
      </c>
      <c r="M21" s="361">
        <f t="shared" si="0"/>
        <v>0</v>
      </c>
      <c r="N21" s="359">
        <f t="shared" si="0"/>
        <v>1076</v>
      </c>
      <c r="O21" s="362">
        <f t="shared" si="0"/>
        <v>1269</v>
      </c>
    </row>
    <row r="22" spans="1:19" ht="13.5" thickBot="1" x14ac:dyDescent="0.35">
      <c r="A22" s="363" t="s">
        <v>106</v>
      </c>
      <c r="B22" s="364"/>
      <c r="C22" s="364"/>
      <c r="D22" s="364"/>
      <c r="E22" s="364"/>
      <c r="F22" s="364"/>
      <c r="G22" s="364"/>
      <c r="H22" s="364"/>
      <c r="I22" s="364"/>
      <c r="J22" s="364"/>
      <c r="K22" s="364"/>
      <c r="L22" s="364"/>
      <c r="M22" s="364"/>
      <c r="N22" s="364"/>
      <c r="O22" s="365"/>
    </row>
    <row r="23" spans="1:19" ht="13.5" thickBot="1" x14ac:dyDescent="0.35">
      <c r="A23" s="363" t="s">
        <v>23</v>
      </c>
      <c r="B23" s="364">
        <f t="shared" ref="B23:O23" si="1">B21-B22</f>
        <v>1599</v>
      </c>
      <c r="C23" s="364">
        <f t="shared" si="1"/>
        <v>845</v>
      </c>
      <c r="D23" s="364">
        <f t="shared" si="1"/>
        <v>135</v>
      </c>
      <c r="E23" s="364">
        <f t="shared" si="1"/>
        <v>3</v>
      </c>
      <c r="F23" s="364">
        <f t="shared" si="1"/>
        <v>31</v>
      </c>
      <c r="G23" s="364">
        <f t="shared" si="1"/>
        <v>0</v>
      </c>
      <c r="H23" s="364">
        <f t="shared" si="1"/>
        <v>8</v>
      </c>
      <c r="I23" s="364">
        <f t="shared" si="1"/>
        <v>7</v>
      </c>
      <c r="J23" s="364">
        <f t="shared" si="1"/>
        <v>6</v>
      </c>
      <c r="K23" s="364">
        <f>K21-K22</f>
        <v>41</v>
      </c>
      <c r="L23" s="364">
        <f t="shared" si="1"/>
        <v>0</v>
      </c>
      <c r="M23" s="366">
        <f t="shared" si="1"/>
        <v>0</v>
      </c>
      <c r="N23" s="364">
        <f t="shared" si="1"/>
        <v>1076</v>
      </c>
      <c r="O23" s="365">
        <f t="shared" si="1"/>
        <v>1269</v>
      </c>
    </row>
    <row r="26" spans="1:19" x14ac:dyDescent="0.25">
      <c r="B26" s="332"/>
      <c r="C26" s="333"/>
      <c r="D26" s="333"/>
      <c r="E26" s="333"/>
      <c r="F26" s="333"/>
      <c r="G26" s="333"/>
      <c r="H26" s="333"/>
      <c r="I26" s="333"/>
      <c r="J26" s="333"/>
      <c r="K26" s="334"/>
    </row>
    <row r="27" spans="1:19" ht="18" x14ac:dyDescent="0.25">
      <c r="B27" s="25"/>
      <c r="C27" s="3" t="s">
        <v>50</v>
      </c>
      <c r="F27" s="335" t="s">
        <v>145</v>
      </c>
      <c r="K27" s="337"/>
    </row>
    <row r="28" spans="1:19" x14ac:dyDescent="0.25">
      <c r="B28" s="86"/>
      <c r="C28" s="4"/>
      <c r="D28" s="4"/>
      <c r="E28" s="4"/>
      <c r="F28" s="4"/>
      <c r="G28" s="4"/>
      <c r="H28" s="4"/>
      <c r="I28" s="4"/>
      <c r="J28" s="4"/>
      <c r="K28" s="97"/>
    </row>
    <row r="30" spans="1:19" ht="13" thickBot="1" x14ac:dyDescent="0.3"/>
    <row r="31" spans="1:19" ht="13.5" thickBot="1" x14ac:dyDescent="0.35">
      <c r="A31" s="343" t="s">
        <v>0</v>
      </c>
      <c r="B31" s="344" t="s">
        <v>1</v>
      </c>
      <c r="C31" s="344" t="s">
        <v>2</v>
      </c>
      <c r="D31" s="344" t="s">
        <v>3</v>
      </c>
      <c r="E31" s="344" t="s">
        <v>4</v>
      </c>
      <c r="F31" s="344" t="s">
        <v>143</v>
      </c>
      <c r="G31" s="344" t="s">
        <v>45</v>
      </c>
      <c r="H31" s="344" t="s">
        <v>46</v>
      </c>
      <c r="I31" s="344" t="s">
        <v>48</v>
      </c>
      <c r="J31" s="344" t="s">
        <v>47</v>
      </c>
      <c r="K31" s="344" t="s">
        <v>55</v>
      </c>
      <c r="L31" s="344" t="s">
        <v>6</v>
      </c>
      <c r="M31" s="345" t="s">
        <v>44</v>
      </c>
      <c r="N31" s="346" t="s">
        <v>8</v>
      </c>
      <c r="O31" s="347" t="s">
        <v>10</v>
      </c>
    </row>
    <row r="32" spans="1:19" ht="13" x14ac:dyDescent="0.3">
      <c r="A32" s="348" t="s">
        <v>11</v>
      </c>
      <c r="B32" s="10">
        <v>317</v>
      </c>
      <c r="C32" s="10">
        <v>175</v>
      </c>
      <c r="D32" s="10">
        <v>30</v>
      </c>
      <c r="E32" s="10">
        <v>0</v>
      </c>
      <c r="F32" s="10">
        <v>13</v>
      </c>
      <c r="G32" s="14">
        <v>0</v>
      </c>
      <c r="H32" s="14">
        <v>0</v>
      </c>
      <c r="I32" s="14">
        <v>0</v>
      </c>
      <c r="J32" s="14">
        <v>0</v>
      </c>
      <c r="K32" s="10">
        <v>6</v>
      </c>
      <c r="L32" s="10">
        <v>1</v>
      </c>
      <c r="M32" s="31">
        <v>0</v>
      </c>
      <c r="N32" s="349">
        <f t="shared" ref="N32:N35" si="2">C32+D32+E32+F32+G32+H32+I32+J32+L32</f>
        <v>219</v>
      </c>
      <c r="O32" s="350">
        <v>198</v>
      </c>
    </row>
    <row r="33" spans="1:15" ht="13" x14ac:dyDescent="0.3">
      <c r="A33" s="351" t="s">
        <v>12</v>
      </c>
      <c r="B33" s="10">
        <v>286</v>
      </c>
      <c r="C33" s="10">
        <v>163</v>
      </c>
      <c r="D33" s="10">
        <v>25</v>
      </c>
      <c r="E33" s="10">
        <v>0</v>
      </c>
      <c r="F33" s="10">
        <v>9</v>
      </c>
      <c r="G33" s="14">
        <v>0</v>
      </c>
      <c r="H33" s="14">
        <v>0</v>
      </c>
      <c r="I33" s="14">
        <v>0</v>
      </c>
      <c r="J33" s="14">
        <v>0</v>
      </c>
      <c r="K33" s="10">
        <v>0</v>
      </c>
      <c r="L33" s="10">
        <v>2</v>
      </c>
      <c r="M33" s="31">
        <v>0</v>
      </c>
      <c r="N33" s="349">
        <f t="shared" si="2"/>
        <v>199</v>
      </c>
      <c r="O33" s="353">
        <v>185</v>
      </c>
    </row>
    <row r="34" spans="1:15" ht="13" x14ac:dyDescent="0.3">
      <c r="A34" s="351" t="s">
        <v>13</v>
      </c>
      <c r="B34" s="10">
        <v>311</v>
      </c>
      <c r="C34" s="10">
        <v>183</v>
      </c>
      <c r="D34" s="10">
        <v>33</v>
      </c>
      <c r="E34" s="10">
        <v>0</v>
      </c>
      <c r="F34" s="10">
        <v>7</v>
      </c>
      <c r="G34" s="14">
        <v>0</v>
      </c>
      <c r="H34" s="14">
        <v>0</v>
      </c>
      <c r="I34" s="14">
        <v>0</v>
      </c>
      <c r="J34" s="14">
        <v>0</v>
      </c>
      <c r="K34" s="10">
        <v>4</v>
      </c>
      <c r="L34" s="10">
        <v>0</v>
      </c>
      <c r="M34" s="31">
        <v>0</v>
      </c>
      <c r="N34" s="349">
        <f t="shared" si="2"/>
        <v>223</v>
      </c>
      <c r="O34" s="353">
        <v>274</v>
      </c>
    </row>
    <row r="35" spans="1:15" ht="13" x14ac:dyDescent="0.3">
      <c r="A35" s="354" t="s">
        <v>14</v>
      </c>
      <c r="B35" s="16">
        <v>412</v>
      </c>
      <c r="C35" s="16">
        <v>229</v>
      </c>
      <c r="D35" s="16">
        <v>30</v>
      </c>
      <c r="E35" s="16">
        <v>0</v>
      </c>
      <c r="F35" s="16">
        <v>13</v>
      </c>
      <c r="G35" s="329">
        <v>0</v>
      </c>
      <c r="H35" s="329">
        <v>3</v>
      </c>
      <c r="I35" s="329">
        <v>1</v>
      </c>
      <c r="J35" s="329">
        <v>0</v>
      </c>
      <c r="K35" s="16">
        <v>15</v>
      </c>
      <c r="L35" s="16">
        <v>0</v>
      </c>
      <c r="M35" s="31">
        <v>0</v>
      </c>
      <c r="N35" s="349">
        <f t="shared" si="2"/>
        <v>276</v>
      </c>
      <c r="O35" s="353">
        <v>528</v>
      </c>
    </row>
    <row r="36" spans="1:15" ht="13" x14ac:dyDescent="0.3">
      <c r="A36" s="351" t="s">
        <v>15</v>
      </c>
      <c r="B36" s="10">
        <v>442</v>
      </c>
      <c r="C36" s="10">
        <v>249</v>
      </c>
      <c r="D36" s="10">
        <v>30</v>
      </c>
      <c r="E36" s="10">
        <v>0</v>
      </c>
      <c r="F36" s="10">
        <v>17</v>
      </c>
      <c r="G36" s="14">
        <v>0</v>
      </c>
      <c r="H36" s="14">
        <v>3</v>
      </c>
      <c r="I36" s="14">
        <v>1</v>
      </c>
      <c r="J36" s="14">
        <v>0</v>
      </c>
      <c r="K36" s="10">
        <v>16</v>
      </c>
      <c r="L36" s="10">
        <v>0</v>
      </c>
      <c r="M36" s="31">
        <v>0</v>
      </c>
      <c r="N36" s="349">
        <f>C36+D36+E36+F36+G36+H36+I36+J36+L36</f>
        <v>300</v>
      </c>
      <c r="O36" s="353">
        <v>291</v>
      </c>
    </row>
    <row r="37" spans="1:15" ht="13" x14ac:dyDescent="0.3">
      <c r="A37" s="351" t="s">
        <v>16</v>
      </c>
      <c r="B37" s="10">
        <v>1050</v>
      </c>
      <c r="C37" s="10">
        <v>389</v>
      </c>
      <c r="D37" s="10">
        <v>62</v>
      </c>
      <c r="E37" s="10">
        <v>0</v>
      </c>
      <c r="F37" s="10">
        <v>43</v>
      </c>
      <c r="G37" s="14">
        <v>3</v>
      </c>
      <c r="H37" s="14">
        <v>12</v>
      </c>
      <c r="I37" s="14">
        <v>110</v>
      </c>
      <c r="J37" s="14">
        <v>13</v>
      </c>
      <c r="K37" s="10">
        <v>17</v>
      </c>
      <c r="L37" s="10">
        <v>2</v>
      </c>
      <c r="M37" s="31">
        <v>0</v>
      </c>
      <c r="N37" s="349">
        <f t="shared" ref="N37:N43" si="3">C37+D37+E37+F37+G37+H37+I37+J37+L37</f>
        <v>634</v>
      </c>
      <c r="O37" s="353">
        <v>1220</v>
      </c>
    </row>
    <row r="38" spans="1:15" ht="13" x14ac:dyDescent="0.3">
      <c r="A38" s="351" t="s">
        <v>17</v>
      </c>
      <c r="B38" s="10">
        <v>2246</v>
      </c>
      <c r="C38" s="10">
        <v>587</v>
      </c>
      <c r="D38" s="10">
        <v>57</v>
      </c>
      <c r="E38" s="10">
        <v>1</v>
      </c>
      <c r="F38" s="10">
        <v>24</v>
      </c>
      <c r="G38" s="14">
        <v>5</v>
      </c>
      <c r="H38" s="14">
        <v>56</v>
      </c>
      <c r="I38" s="14">
        <v>400</v>
      </c>
      <c r="J38" s="14">
        <v>23</v>
      </c>
      <c r="K38" s="10">
        <v>15</v>
      </c>
      <c r="L38" s="10">
        <v>1</v>
      </c>
      <c r="M38" s="31">
        <v>0</v>
      </c>
      <c r="N38" s="349">
        <f t="shared" si="3"/>
        <v>1154</v>
      </c>
      <c r="O38" s="353">
        <v>998</v>
      </c>
    </row>
    <row r="39" spans="1:15" ht="13" x14ac:dyDescent="0.3">
      <c r="A39" s="351" t="s">
        <v>18</v>
      </c>
      <c r="B39" s="10"/>
      <c r="C39" s="10"/>
      <c r="D39" s="10"/>
      <c r="E39" s="10"/>
      <c r="F39" s="10"/>
      <c r="G39" s="14"/>
      <c r="H39" s="14"/>
      <c r="I39" s="14"/>
      <c r="J39" s="14"/>
      <c r="K39" s="10"/>
      <c r="L39" s="10"/>
      <c r="M39" s="31"/>
      <c r="N39" s="349">
        <f t="shared" si="3"/>
        <v>0</v>
      </c>
      <c r="O39" s="353"/>
    </row>
    <row r="40" spans="1:15" ht="13" x14ac:dyDescent="0.3">
      <c r="A40" s="351" t="s">
        <v>19</v>
      </c>
      <c r="B40" s="10"/>
      <c r="C40" s="10"/>
      <c r="D40" s="102"/>
      <c r="E40" s="10"/>
      <c r="F40" s="10"/>
      <c r="G40" s="14"/>
      <c r="H40" s="14"/>
      <c r="I40" s="14"/>
      <c r="J40" s="14"/>
      <c r="K40" s="10"/>
      <c r="L40" s="10"/>
      <c r="M40" s="31"/>
      <c r="N40" s="349">
        <f t="shared" si="3"/>
        <v>0</v>
      </c>
      <c r="O40" s="353"/>
    </row>
    <row r="41" spans="1:15" ht="13" x14ac:dyDescent="0.3">
      <c r="A41" s="351" t="s">
        <v>20</v>
      </c>
      <c r="B41" s="10"/>
      <c r="C41" s="10"/>
      <c r="D41" s="10"/>
      <c r="E41" s="10"/>
      <c r="F41" s="10"/>
      <c r="G41" s="14"/>
      <c r="H41" s="14"/>
      <c r="I41" s="14"/>
      <c r="J41" s="14"/>
      <c r="K41" s="10"/>
      <c r="L41" s="10"/>
      <c r="M41" s="31"/>
      <c r="N41" s="349">
        <f t="shared" si="3"/>
        <v>0</v>
      </c>
      <c r="O41" s="353"/>
    </row>
    <row r="42" spans="1:15" ht="13" x14ac:dyDescent="0.3">
      <c r="A42" s="351" t="s">
        <v>21</v>
      </c>
      <c r="B42" s="10"/>
      <c r="C42" s="10"/>
      <c r="D42" s="10"/>
      <c r="E42" s="10"/>
      <c r="F42" s="10"/>
      <c r="G42" s="10"/>
      <c r="H42" s="10"/>
      <c r="I42" s="10"/>
      <c r="J42" s="10"/>
      <c r="K42" s="10"/>
      <c r="L42" s="10"/>
      <c r="M42" s="31"/>
      <c r="N42" s="349">
        <f t="shared" si="3"/>
        <v>0</v>
      </c>
      <c r="O42" s="353"/>
    </row>
    <row r="43" spans="1:15" ht="13.5" thickBot="1" x14ac:dyDescent="0.35">
      <c r="A43" s="355" t="s">
        <v>22</v>
      </c>
      <c r="B43" s="10"/>
      <c r="C43" s="10"/>
      <c r="D43" s="10"/>
      <c r="E43" s="10"/>
      <c r="F43" s="10"/>
      <c r="G43" s="14"/>
      <c r="H43" s="14"/>
      <c r="I43" s="14"/>
      <c r="J43" s="14"/>
      <c r="K43" s="10"/>
      <c r="L43" s="10"/>
      <c r="M43" s="31"/>
      <c r="N43" s="349">
        <f t="shared" si="3"/>
        <v>0</v>
      </c>
      <c r="O43" s="357"/>
    </row>
    <row r="44" spans="1:15" ht="13" x14ac:dyDescent="0.3">
      <c r="A44" s="358" t="s">
        <v>137</v>
      </c>
      <c r="B44" s="359">
        <f>SUM(B32:B43)</f>
        <v>5064</v>
      </c>
      <c r="C44" s="359">
        <f t="shared" ref="C44:J44" si="4">SUM(C32:C43)</f>
        <v>1975</v>
      </c>
      <c r="D44" s="359">
        <f t="shared" si="4"/>
        <v>267</v>
      </c>
      <c r="E44" s="359">
        <f t="shared" si="4"/>
        <v>1</v>
      </c>
      <c r="F44" s="359">
        <f t="shared" si="4"/>
        <v>126</v>
      </c>
      <c r="G44" s="360">
        <f t="shared" si="4"/>
        <v>8</v>
      </c>
      <c r="H44" s="360">
        <f t="shared" si="4"/>
        <v>74</v>
      </c>
      <c r="I44" s="359">
        <f t="shared" si="4"/>
        <v>512</v>
      </c>
      <c r="J44" s="359">
        <f t="shared" si="4"/>
        <v>36</v>
      </c>
      <c r="K44" s="359">
        <f>SUM(K32:K43)</f>
        <v>73</v>
      </c>
      <c r="L44" s="359">
        <f t="shared" ref="L44:O44" si="5">SUM(L32:L43)</f>
        <v>6</v>
      </c>
      <c r="M44" s="361">
        <f t="shared" si="5"/>
        <v>0</v>
      </c>
      <c r="N44" s="359">
        <f t="shared" si="5"/>
        <v>3005</v>
      </c>
      <c r="O44" s="362">
        <f t="shared" si="5"/>
        <v>3694</v>
      </c>
    </row>
    <row r="45" spans="1:15" ht="13.5" thickBot="1" x14ac:dyDescent="0.35">
      <c r="A45" s="363" t="s">
        <v>131</v>
      </c>
      <c r="B45" s="364"/>
      <c r="C45" s="364"/>
      <c r="D45" s="364"/>
      <c r="E45" s="364"/>
      <c r="F45" s="364"/>
      <c r="G45" s="364"/>
      <c r="H45" s="364"/>
      <c r="I45" s="364"/>
      <c r="J45" s="364"/>
      <c r="K45" s="364"/>
      <c r="L45" s="364"/>
      <c r="M45" s="364"/>
      <c r="N45" s="364"/>
      <c r="O45" s="365"/>
    </row>
    <row r="46" spans="1:15" ht="13.5" thickBot="1" x14ac:dyDescent="0.35">
      <c r="A46" s="363" t="s">
        <v>23</v>
      </c>
      <c r="B46" s="364">
        <f t="shared" ref="B46:J46" si="6">B44-B45</f>
        <v>5064</v>
      </c>
      <c r="C46" s="364">
        <f t="shared" si="6"/>
        <v>1975</v>
      </c>
      <c r="D46" s="364">
        <f t="shared" si="6"/>
        <v>267</v>
      </c>
      <c r="E46" s="364">
        <f t="shared" si="6"/>
        <v>1</v>
      </c>
      <c r="F46" s="364">
        <f t="shared" si="6"/>
        <v>126</v>
      </c>
      <c r="G46" s="364">
        <f t="shared" si="6"/>
        <v>8</v>
      </c>
      <c r="H46" s="364">
        <f t="shared" si="6"/>
        <v>74</v>
      </c>
      <c r="I46" s="364">
        <f t="shared" si="6"/>
        <v>512</v>
      </c>
      <c r="J46" s="364">
        <f t="shared" si="6"/>
        <v>36</v>
      </c>
      <c r="K46" s="364">
        <f>K44-K45</f>
        <v>73</v>
      </c>
      <c r="L46" s="364">
        <f t="shared" ref="L46:O46" si="7">L44-L45</f>
        <v>6</v>
      </c>
      <c r="M46" s="366">
        <f t="shared" si="7"/>
        <v>0</v>
      </c>
      <c r="N46" s="364">
        <f t="shared" si="7"/>
        <v>3005</v>
      </c>
      <c r="O46" s="365">
        <f t="shared" si="7"/>
        <v>3694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7:X91"/>
  <sheetViews>
    <sheetView topLeftCell="A53" zoomScaleNormal="100" workbookViewId="0">
      <selection activeCell="M74" sqref="M74"/>
    </sheetView>
  </sheetViews>
  <sheetFormatPr defaultRowHeight="12.75" customHeight="1" x14ac:dyDescent="0.25"/>
  <cols>
    <col min="1" max="1" width="10.08984375" customWidth="1"/>
    <col min="2" max="2" width="7.90625" customWidth="1"/>
    <col min="3" max="3" width="9.90625" customWidth="1"/>
    <col min="4" max="4" width="8.453125" customWidth="1"/>
    <col min="5" max="5" width="7" customWidth="1"/>
    <col min="6" max="6" width="8.08984375" customWidth="1"/>
    <col min="7" max="7" width="8.54296875" customWidth="1"/>
    <col min="8" max="9" width="8" customWidth="1"/>
    <col min="10" max="10" width="7.453125" customWidth="1"/>
    <col min="11" max="11" width="8.453125" customWidth="1"/>
    <col min="12" max="12" width="10.453125" customWidth="1"/>
    <col min="13" max="13" width="10.54296875" customWidth="1"/>
    <col min="15" max="15" width="8.453125" customWidth="1"/>
    <col min="16" max="16" width="7.54296875" customWidth="1"/>
  </cols>
  <sheetData>
    <row r="7" spans="1:22" ht="13" x14ac:dyDescent="0.3">
      <c r="A7" s="35" t="s">
        <v>0</v>
      </c>
      <c r="B7" s="82" t="s">
        <v>1</v>
      </c>
      <c r="C7" s="82" t="s">
        <v>2</v>
      </c>
      <c r="D7" s="82" t="s">
        <v>3</v>
      </c>
      <c r="E7" s="82" t="s">
        <v>4</v>
      </c>
      <c r="F7" s="82" t="s">
        <v>55</v>
      </c>
      <c r="G7" s="84" t="s">
        <v>45</v>
      </c>
      <c r="H7" s="84" t="s">
        <v>46</v>
      </c>
      <c r="I7" s="84" t="s">
        <v>48</v>
      </c>
      <c r="J7" s="84" t="s">
        <v>47</v>
      </c>
      <c r="K7" s="82" t="s">
        <v>6</v>
      </c>
      <c r="L7" s="83" t="s">
        <v>44</v>
      </c>
      <c r="M7" s="35" t="s">
        <v>8</v>
      </c>
      <c r="N7" s="82" t="s">
        <v>10</v>
      </c>
      <c r="O7" s="82" t="s">
        <v>1</v>
      </c>
      <c r="P7" s="82" t="s">
        <v>9</v>
      </c>
      <c r="R7" s="163" t="s">
        <v>94</v>
      </c>
      <c r="S7" s="163" t="s">
        <v>95</v>
      </c>
      <c r="U7" s="163" t="s">
        <v>87</v>
      </c>
      <c r="V7" s="163" t="s">
        <v>88</v>
      </c>
    </row>
    <row r="8" spans="1:22" ht="13" x14ac:dyDescent="0.3">
      <c r="A8" t="s">
        <v>11</v>
      </c>
      <c r="B8" s="10">
        <v>2463</v>
      </c>
      <c r="C8" s="10">
        <v>1100</v>
      </c>
      <c r="D8" s="10">
        <v>263</v>
      </c>
      <c r="E8" s="10">
        <v>0</v>
      </c>
      <c r="F8" s="10">
        <v>2</v>
      </c>
      <c r="G8" s="14">
        <v>2</v>
      </c>
      <c r="H8" s="14">
        <v>5</v>
      </c>
      <c r="I8" s="14">
        <v>0</v>
      </c>
      <c r="J8" s="14">
        <v>0</v>
      </c>
      <c r="K8" s="10">
        <v>7</v>
      </c>
      <c r="L8" s="28">
        <v>0</v>
      </c>
      <c r="M8" s="10">
        <f>SUM(C8:K8)</f>
        <v>1379</v>
      </c>
      <c r="N8" s="10">
        <v>2651</v>
      </c>
      <c r="O8" s="178">
        <v>0.17397521448999045</v>
      </c>
      <c r="P8" s="179">
        <v>0.25022665457842247</v>
      </c>
      <c r="Q8" s="22"/>
      <c r="R8" s="143">
        <v>365</v>
      </c>
      <c r="S8" s="143">
        <v>276</v>
      </c>
      <c r="U8" s="12">
        <v>2098</v>
      </c>
      <c r="V8" s="12">
        <v>1103</v>
      </c>
    </row>
    <row r="9" spans="1:22" ht="13" x14ac:dyDescent="0.3">
      <c r="A9" t="s">
        <v>12</v>
      </c>
      <c r="B9" s="10">
        <v>2072</v>
      </c>
      <c r="C9" s="10">
        <v>945</v>
      </c>
      <c r="D9" s="10">
        <v>123</v>
      </c>
      <c r="E9" s="10">
        <v>0</v>
      </c>
      <c r="F9" s="10">
        <v>4</v>
      </c>
      <c r="G9" s="14">
        <v>2</v>
      </c>
      <c r="H9" s="14">
        <v>8</v>
      </c>
      <c r="I9" s="14">
        <v>0</v>
      </c>
      <c r="J9" s="14">
        <v>0</v>
      </c>
      <c r="K9" s="10">
        <v>25</v>
      </c>
      <c r="L9" s="28">
        <v>0</v>
      </c>
      <c r="M9" s="10">
        <f t="shared" ref="M9:M19" si="0">SUM(C9:K9)</f>
        <v>1107</v>
      </c>
      <c r="N9" s="10">
        <v>6077</v>
      </c>
      <c r="O9" s="180">
        <v>-4.9105094079853147E-2</v>
      </c>
      <c r="P9" s="181">
        <v>-2.8947368421052631E-2</v>
      </c>
      <c r="Q9" s="22"/>
      <c r="R9" s="143">
        <v>-107</v>
      </c>
      <c r="S9" s="143">
        <v>-33</v>
      </c>
      <c r="U9" s="12">
        <v>2179</v>
      </c>
      <c r="V9" s="12">
        <v>1140</v>
      </c>
    </row>
    <row r="10" spans="1:22" ht="13" x14ac:dyDescent="0.3">
      <c r="A10" t="s">
        <v>13</v>
      </c>
      <c r="B10" s="10">
        <v>2461</v>
      </c>
      <c r="C10" s="10">
        <v>1172</v>
      </c>
      <c r="D10" s="10">
        <v>141</v>
      </c>
      <c r="E10" s="10">
        <v>0</v>
      </c>
      <c r="F10" s="10">
        <v>13</v>
      </c>
      <c r="G10" s="14">
        <v>1</v>
      </c>
      <c r="H10" s="14">
        <v>15</v>
      </c>
      <c r="I10" s="14">
        <v>2</v>
      </c>
      <c r="J10" s="14">
        <v>0</v>
      </c>
      <c r="K10" s="10">
        <v>22</v>
      </c>
      <c r="L10" s="28">
        <v>0</v>
      </c>
      <c r="M10" s="10">
        <f t="shared" si="0"/>
        <v>1366</v>
      </c>
      <c r="N10" s="10">
        <v>2239</v>
      </c>
      <c r="O10" s="180">
        <v>-0.2474006116207951</v>
      </c>
      <c r="P10" s="181">
        <v>-0.10718954248366012</v>
      </c>
      <c r="Q10" s="182"/>
      <c r="R10" s="143">
        <v>-809</v>
      </c>
      <c r="S10" s="143">
        <v>-164</v>
      </c>
      <c r="U10" s="12">
        <v>3270</v>
      </c>
      <c r="V10" s="12">
        <v>1530</v>
      </c>
    </row>
    <row r="11" spans="1:22" ht="13" x14ac:dyDescent="0.3">
      <c r="A11" s="88" t="s">
        <v>14</v>
      </c>
      <c r="B11" s="71">
        <v>4388</v>
      </c>
      <c r="C11" s="71">
        <v>1734</v>
      </c>
      <c r="D11" s="71">
        <v>179</v>
      </c>
      <c r="E11" s="71">
        <v>3</v>
      </c>
      <c r="F11" s="71">
        <v>57</v>
      </c>
      <c r="G11" s="76">
        <v>4</v>
      </c>
      <c r="H11" s="76">
        <v>25</v>
      </c>
      <c r="I11" s="76">
        <v>0</v>
      </c>
      <c r="J11" s="76">
        <v>5</v>
      </c>
      <c r="K11" s="71">
        <v>65</v>
      </c>
      <c r="L11" s="28">
        <v>0</v>
      </c>
      <c r="M11" s="10">
        <f t="shared" si="0"/>
        <v>2072</v>
      </c>
      <c r="N11" s="10">
        <v>3265</v>
      </c>
      <c r="O11" s="180">
        <v>0.22741258741258741</v>
      </c>
      <c r="P11" s="181">
        <v>0.15754189944134078</v>
      </c>
      <c r="Q11" s="182"/>
      <c r="R11" s="143">
        <v>813</v>
      </c>
      <c r="S11" s="143">
        <v>282</v>
      </c>
      <c r="U11" s="12">
        <v>3575</v>
      </c>
      <c r="V11" s="12">
        <v>1790</v>
      </c>
    </row>
    <row r="12" spans="1:22" ht="13" x14ac:dyDescent="0.3">
      <c r="A12" t="s">
        <v>15</v>
      </c>
      <c r="B12" s="10">
        <v>6512</v>
      </c>
      <c r="C12" s="10">
        <v>2076</v>
      </c>
      <c r="D12" s="10">
        <v>204</v>
      </c>
      <c r="E12" s="10">
        <v>41</v>
      </c>
      <c r="F12" s="10">
        <v>86</v>
      </c>
      <c r="G12" s="14">
        <v>16</v>
      </c>
      <c r="H12" s="14">
        <v>42</v>
      </c>
      <c r="I12" s="14">
        <v>119</v>
      </c>
      <c r="J12" s="14">
        <v>38</v>
      </c>
      <c r="K12" s="10">
        <v>55</v>
      </c>
      <c r="L12" s="28">
        <v>18</v>
      </c>
      <c r="M12" s="10">
        <f t="shared" si="0"/>
        <v>2677</v>
      </c>
      <c r="N12" s="10">
        <v>3951</v>
      </c>
      <c r="O12" s="180">
        <v>-9.7435897435897437E-2</v>
      </c>
      <c r="P12" s="181">
        <v>-8.1961591220850477E-2</v>
      </c>
      <c r="Q12" s="182"/>
      <c r="R12" s="143">
        <v>-703</v>
      </c>
      <c r="S12" s="143">
        <v>-239</v>
      </c>
      <c r="U12" s="12">
        <v>7215</v>
      </c>
      <c r="V12" s="12">
        <v>2916</v>
      </c>
    </row>
    <row r="13" spans="1:22" ht="13" x14ac:dyDescent="0.3">
      <c r="A13" t="s">
        <v>16</v>
      </c>
      <c r="B13" s="10">
        <v>8215</v>
      </c>
      <c r="C13" s="10">
        <v>2541</v>
      </c>
      <c r="D13" s="10">
        <v>176</v>
      </c>
      <c r="E13" s="10">
        <v>31</v>
      </c>
      <c r="F13" s="10">
        <v>39</v>
      </c>
      <c r="G13" s="14">
        <v>17</v>
      </c>
      <c r="H13" s="14">
        <v>111</v>
      </c>
      <c r="I13" s="14">
        <v>421</v>
      </c>
      <c r="J13" s="14">
        <v>153</v>
      </c>
      <c r="K13" s="10">
        <v>83</v>
      </c>
      <c r="L13" s="28">
        <v>0</v>
      </c>
      <c r="M13" s="10">
        <f t="shared" si="0"/>
        <v>3572</v>
      </c>
      <c r="N13" s="10">
        <v>4202.5</v>
      </c>
      <c r="O13" s="180">
        <v>-0.10628807658833768</v>
      </c>
      <c r="P13" s="181">
        <v>-3.4594594594594595E-2</v>
      </c>
      <c r="Q13" s="182"/>
      <c r="R13" s="143">
        <v>-977</v>
      </c>
      <c r="S13" s="143">
        <v>-128</v>
      </c>
      <c r="U13" s="12">
        <v>9192</v>
      </c>
      <c r="V13" s="12">
        <v>3700</v>
      </c>
    </row>
    <row r="14" spans="1:22" ht="13" x14ac:dyDescent="0.3">
      <c r="A14" t="s">
        <v>17</v>
      </c>
      <c r="B14" s="10">
        <v>13810</v>
      </c>
      <c r="C14" s="10">
        <v>3812</v>
      </c>
      <c r="D14" s="10">
        <v>161</v>
      </c>
      <c r="E14" s="10">
        <v>30</v>
      </c>
      <c r="F14" s="10">
        <v>60</v>
      </c>
      <c r="G14" s="14">
        <v>58</v>
      </c>
      <c r="H14" s="14">
        <v>275</v>
      </c>
      <c r="I14" s="14">
        <v>1519</v>
      </c>
      <c r="J14" s="14">
        <v>389</v>
      </c>
      <c r="K14" s="10">
        <v>35</v>
      </c>
      <c r="L14" s="28">
        <v>37</v>
      </c>
      <c r="M14" s="10">
        <f t="shared" si="0"/>
        <v>6339</v>
      </c>
      <c r="N14" s="10">
        <v>4994</v>
      </c>
      <c r="O14" s="180">
        <v>2.3952965086738768E-3</v>
      </c>
      <c r="P14" s="181">
        <v>7.1496663489037183E-3</v>
      </c>
      <c r="Q14" s="182"/>
      <c r="R14" s="143">
        <v>33</v>
      </c>
      <c r="S14" s="143">
        <v>45</v>
      </c>
      <c r="U14" s="12">
        <v>13777</v>
      </c>
      <c r="V14" s="12">
        <v>6294</v>
      </c>
    </row>
    <row r="15" spans="1:22" ht="13" x14ac:dyDescent="0.3">
      <c r="A15" t="s">
        <v>18</v>
      </c>
      <c r="B15" s="10">
        <v>9413</v>
      </c>
      <c r="C15" s="10">
        <v>2600</v>
      </c>
      <c r="D15" s="10">
        <v>209</v>
      </c>
      <c r="E15" s="10">
        <v>53</v>
      </c>
      <c r="F15" s="10">
        <v>83</v>
      </c>
      <c r="G15" s="14">
        <v>14</v>
      </c>
      <c r="H15" s="14">
        <v>133</v>
      </c>
      <c r="I15" s="14">
        <v>638</v>
      </c>
      <c r="J15" s="14">
        <v>189</v>
      </c>
      <c r="K15" s="10">
        <v>48</v>
      </c>
      <c r="L15" s="28">
        <v>0</v>
      </c>
      <c r="M15" s="10">
        <f t="shared" si="0"/>
        <v>3967</v>
      </c>
      <c r="N15" s="10">
        <v>5923</v>
      </c>
      <c r="O15" s="180">
        <v>-6.7373427127712271E-2</v>
      </c>
      <c r="P15" s="181">
        <v>-4.2481293748491432E-2</v>
      </c>
      <c r="Q15" s="22"/>
      <c r="R15" s="143">
        <v>-680</v>
      </c>
      <c r="S15" s="143">
        <v>-176</v>
      </c>
      <c r="U15" s="12">
        <v>10093</v>
      </c>
      <c r="V15" s="12">
        <v>4143</v>
      </c>
    </row>
    <row r="16" spans="1:22" ht="13" x14ac:dyDescent="0.3">
      <c r="A16" t="s">
        <v>19</v>
      </c>
      <c r="B16" s="10">
        <v>4973</v>
      </c>
      <c r="C16" s="10">
        <v>2032</v>
      </c>
      <c r="D16" s="10">
        <v>239</v>
      </c>
      <c r="E16" s="10">
        <v>10</v>
      </c>
      <c r="F16" s="10">
        <v>124</v>
      </c>
      <c r="G16" s="14">
        <v>7</v>
      </c>
      <c r="H16" s="14">
        <v>43</v>
      </c>
      <c r="I16" s="14">
        <v>24</v>
      </c>
      <c r="J16" s="14">
        <v>22</v>
      </c>
      <c r="K16" s="10">
        <v>33</v>
      </c>
      <c r="L16" s="28">
        <v>6</v>
      </c>
      <c r="M16" s="10">
        <f t="shared" si="0"/>
        <v>2534</v>
      </c>
      <c r="N16" s="10">
        <v>5289</v>
      </c>
      <c r="O16" s="180">
        <v>-0.10137332851463679</v>
      </c>
      <c r="P16" s="181">
        <v>3.4708044099632504E-2</v>
      </c>
      <c r="Q16" s="22"/>
      <c r="R16" s="143">
        <v>-561</v>
      </c>
      <c r="S16" s="143">
        <v>85</v>
      </c>
      <c r="U16" s="12">
        <v>5534</v>
      </c>
      <c r="V16" s="12">
        <v>2449</v>
      </c>
    </row>
    <row r="17" spans="1:22" ht="13" x14ac:dyDescent="0.3">
      <c r="A17" t="s">
        <v>20</v>
      </c>
      <c r="B17" s="10">
        <v>4186</v>
      </c>
      <c r="C17" s="10">
        <v>1723</v>
      </c>
      <c r="D17" s="10">
        <v>228</v>
      </c>
      <c r="E17" s="10">
        <v>7</v>
      </c>
      <c r="F17" s="10">
        <v>65</v>
      </c>
      <c r="G17" s="14">
        <v>2</v>
      </c>
      <c r="H17" s="14">
        <v>24</v>
      </c>
      <c r="I17" s="14">
        <v>0</v>
      </c>
      <c r="J17" s="14">
        <v>1</v>
      </c>
      <c r="K17" s="10">
        <v>45</v>
      </c>
      <c r="L17" s="28">
        <v>3</v>
      </c>
      <c r="M17" s="10">
        <f t="shared" si="0"/>
        <v>2095</v>
      </c>
      <c r="N17" s="10">
        <v>4769</v>
      </c>
      <c r="O17" s="180">
        <v>3.7679722359940507E-2</v>
      </c>
      <c r="P17" s="181">
        <v>3.4567901234567898E-2</v>
      </c>
      <c r="Q17" s="22"/>
      <c r="R17" s="143">
        <v>152</v>
      </c>
      <c r="S17" s="143">
        <v>70</v>
      </c>
      <c r="U17" s="12">
        <v>4034</v>
      </c>
      <c r="V17" s="12">
        <v>2025</v>
      </c>
    </row>
    <row r="18" spans="1:22" ht="13" x14ac:dyDescent="0.3">
      <c r="A18" t="s">
        <v>21</v>
      </c>
      <c r="B18" s="10">
        <v>2939</v>
      </c>
      <c r="C18" s="10">
        <v>1929</v>
      </c>
      <c r="D18" s="10">
        <v>365</v>
      </c>
      <c r="E18" s="10">
        <v>0</v>
      </c>
      <c r="F18" s="10">
        <v>28</v>
      </c>
      <c r="G18" s="10">
        <v>2</v>
      </c>
      <c r="H18" s="10">
        <v>9</v>
      </c>
      <c r="I18" s="10">
        <v>0</v>
      </c>
      <c r="J18" s="10">
        <v>0</v>
      </c>
      <c r="K18" s="10">
        <v>28</v>
      </c>
      <c r="L18" s="28">
        <v>0</v>
      </c>
      <c r="M18" s="10">
        <f t="shared" si="0"/>
        <v>2361</v>
      </c>
      <c r="N18" s="10">
        <v>4063</v>
      </c>
      <c r="O18" s="180">
        <v>-4.1109298531810765E-2</v>
      </c>
      <c r="P18" s="181">
        <v>0.46011131725417442</v>
      </c>
      <c r="Q18" s="22"/>
      <c r="R18" s="143">
        <v>-126</v>
      </c>
      <c r="S18" s="143">
        <v>744</v>
      </c>
      <c r="U18" s="12">
        <v>3065</v>
      </c>
      <c r="V18" s="12">
        <v>1617</v>
      </c>
    </row>
    <row r="19" spans="1:22" ht="13.5" thickBot="1" x14ac:dyDescent="0.35">
      <c r="A19" s="4" t="s">
        <v>22</v>
      </c>
      <c r="B19" s="11">
        <v>2946</v>
      </c>
      <c r="C19" s="11">
        <v>1289</v>
      </c>
      <c r="D19" s="11">
        <v>175</v>
      </c>
      <c r="E19" s="11">
        <v>1</v>
      </c>
      <c r="F19" s="11">
        <v>30</v>
      </c>
      <c r="G19" s="15">
        <v>0</v>
      </c>
      <c r="H19" s="15">
        <v>5</v>
      </c>
      <c r="I19" s="15">
        <v>0</v>
      </c>
      <c r="J19" s="15">
        <v>0</v>
      </c>
      <c r="K19" s="11">
        <v>10</v>
      </c>
      <c r="L19" s="29">
        <v>0</v>
      </c>
      <c r="M19" s="10">
        <f t="shared" si="0"/>
        <v>1510</v>
      </c>
      <c r="N19" s="81">
        <v>3261</v>
      </c>
      <c r="O19" s="183">
        <v>-7.3584905660377356E-2</v>
      </c>
      <c r="P19" s="184">
        <v>-0.36260025327142253</v>
      </c>
      <c r="Q19" s="22"/>
      <c r="R19" s="185">
        <v>-234</v>
      </c>
      <c r="S19" s="185">
        <v>-859</v>
      </c>
      <c r="U19" s="20">
        <v>3180</v>
      </c>
      <c r="V19" s="12">
        <v>2369</v>
      </c>
    </row>
    <row r="20" spans="1:22" ht="13" x14ac:dyDescent="0.3">
      <c r="A20" s="3" t="s">
        <v>93</v>
      </c>
      <c r="B20" s="8">
        <f>SUM(B8:B19)</f>
        <v>64378</v>
      </c>
      <c r="C20" s="8">
        <f t="shared" ref="C20:N20" si="1">SUM(C8:C19)</f>
        <v>22953</v>
      </c>
      <c r="D20" s="8">
        <f t="shared" si="1"/>
        <v>2463</v>
      </c>
      <c r="E20" s="8">
        <f t="shared" si="1"/>
        <v>176</v>
      </c>
      <c r="F20" s="8">
        <f t="shared" si="1"/>
        <v>591</v>
      </c>
      <c r="G20" s="68">
        <f t="shared" si="1"/>
        <v>125</v>
      </c>
      <c r="H20" s="68">
        <f t="shared" si="1"/>
        <v>695</v>
      </c>
      <c r="I20" s="61">
        <f t="shared" si="1"/>
        <v>2723</v>
      </c>
      <c r="J20" s="61">
        <f t="shared" si="1"/>
        <v>797</v>
      </c>
      <c r="K20" s="8">
        <f t="shared" si="1"/>
        <v>456</v>
      </c>
      <c r="L20" s="28">
        <f t="shared" si="1"/>
        <v>64</v>
      </c>
      <c r="M20" s="41">
        <f>SUM(M8:M19)</f>
        <v>30979</v>
      </c>
      <c r="N20" s="8">
        <f t="shared" si="1"/>
        <v>50684.5</v>
      </c>
      <c r="O20" s="186">
        <v>-4.2165089567339165E-2</v>
      </c>
      <c r="P20" s="187">
        <v>-3.1213798429656327E-3</v>
      </c>
      <c r="Q20" s="22"/>
      <c r="R20" s="143">
        <v>-2834</v>
      </c>
      <c r="S20" s="143">
        <v>-97</v>
      </c>
      <c r="U20" s="12">
        <v>67212</v>
      </c>
      <c r="V20" s="12">
        <v>31076</v>
      </c>
    </row>
    <row r="21" spans="1:22" ht="13" x14ac:dyDescent="0.3">
      <c r="A21" s="5" t="s">
        <v>86</v>
      </c>
      <c r="B21" s="9">
        <v>67212</v>
      </c>
      <c r="C21" s="9">
        <v>23403</v>
      </c>
      <c r="D21" s="9">
        <v>2426</v>
      </c>
      <c r="E21" s="9">
        <v>276</v>
      </c>
      <c r="F21" s="9">
        <v>104</v>
      </c>
      <c r="G21" s="9">
        <v>76</v>
      </c>
      <c r="H21" s="9">
        <v>657</v>
      </c>
      <c r="I21" s="9">
        <v>2741</v>
      </c>
      <c r="J21" s="9">
        <v>915</v>
      </c>
      <c r="K21" s="9">
        <v>478</v>
      </c>
      <c r="L21" s="9">
        <v>49</v>
      </c>
      <c r="M21" s="9">
        <v>31076</v>
      </c>
      <c r="N21" s="9">
        <v>50466.5</v>
      </c>
      <c r="O21" s="47"/>
      <c r="P21" s="120"/>
    </row>
    <row r="22" spans="1:22" ht="13" x14ac:dyDescent="0.3">
      <c r="A22" s="5" t="s">
        <v>23</v>
      </c>
      <c r="B22" s="9">
        <f t="shared" ref="B22:N22" si="2">B20-B21</f>
        <v>-2834</v>
      </c>
      <c r="C22" s="9">
        <f t="shared" si="2"/>
        <v>-450</v>
      </c>
      <c r="D22" s="9">
        <f t="shared" si="2"/>
        <v>37</v>
      </c>
      <c r="E22" s="9">
        <f t="shared" si="2"/>
        <v>-100</v>
      </c>
      <c r="F22" s="9">
        <f t="shared" si="2"/>
        <v>487</v>
      </c>
      <c r="G22" s="9">
        <f t="shared" si="2"/>
        <v>49</v>
      </c>
      <c r="H22" s="9">
        <f t="shared" si="2"/>
        <v>38</v>
      </c>
      <c r="I22" s="9">
        <f t="shared" si="2"/>
        <v>-18</v>
      </c>
      <c r="J22" s="9">
        <f t="shared" si="2"/>
        <v>-118</v>
      </c>
      <c r="K22" s="9">
        <f t="shared" si="2"/>
        <v>-22</v>
      </c>
      <c r="L22" s="29">
        <f t="shared" si="2"/>
        <v>15</v>
      </c>
      <c r="M22" s="9">
        <f t="shared" si="2"/>
        <v>-97</v>
      </c>
      <c r="N22" s="9">
        <f t="shared" si="2"/>
        <v>218</v>
      </c>
      <c r="O22" s="48"/>
      <c r="P22" s="158"/>
      <c r="R22" s="13"/>
      <c r="S22" s="13"/>
      <c r="T22" s="13"/>
    </row>
    <row r="32" spans="1:22" ht="12.75" customHeight="1" x14ac:dyDescent="0.3">
      <c r="A32" s="35" t="s">
        <v>0</v>
      </c>
      <c r="B32" s="82" t="s">
        <v>1</v>
      </c>
      <c r="C32" s="82" t="s">
        <v>2</v>
      </c>
      <c r="D32" s="82" t="s">
        <v>3</v>
      </c>
      <c r="E32" s="82" t="s">
        <v>4</v>
      </c>
      <c r="F32" s="82" t="s">
        <v>55</v>
      </c>
      <c r="G32" s="84" t="s">
        <v>45</v>
      </c>
      <c r="H32" s="84" t="s">
        <v>46</v>
      </c>
      <c r="I32" s="84" t="s">
        <v>48</v>
      </c>
      <c r="J32" s="84" t="s">
        <v>47</v>
      </c>
      <c r="K32" s="82" t="s">
        <v>6</v>
      </c>
      <c r="L32" s="83" t="s">
        <v>44</v>
      </c>
      <c r="M32" s="35" t="s">
        <v>8</v>
      </c>
      <c r="N32" s="82" t="s">
        <v>10</v>
      </c>
      <c r="O32" s="82" t="s">
        <v>1</v>
      </c>
      <c r="P32" s="82" t="s">
        <v>9</v>
      </c>
      <c r="R32" s="163" t="s">
        <v>103</v>
      </c>
      <c r="S32" s="163" t="s">
        <v>104</v>
      </c>
      <c r="U32" s="163" t="s">
        <v>94</v>
      </c>
      <c r="V32" s="163" t="s">
        <v>95</v>
      </c>
    </row>
    <row r="33" spans="1:22" ht="12.75" customHeight="1" x14ac:dyDescent="0.3">
      <c r="A33" t="s">
        <v>11</v>
      </c>
      <c r="B33" s="10">
        <v>2430</v>
      </c>
      <c r="C33" s="10">
        <v>1087</v>
      </c>
      <c r="D33" s="10">
        <v>210</v>
      </c>
      <c r="E33" s="10">
        <v>1</v>
      </c>
      <c r="F33" s="10">
        <v>21</v>
      </c>
      <c r="G33" s="14">
        <v>0</v>
      </c>
      <c r="H33" s="14">
        <v>10</v>
      </c>
      <c r="I33" s="14">
        <v>0</v>
      </c>
      <c r="J33" s="14">
        <v>0</v>
      </c>
      <c r="K33" s="10">
        <v>15</v>
      </c>
      <c r="L33" s="28">
        <v>0</v>
      </c>
      <c r="M33" s="10">
        <f t="shared" ref="M33:M40" si="3">SUM(C33:K33)</f>
        <v>1344</v>
      </c>
      <c r="N33" s="10">
        <v>3664</v>
      </c>
      <c r="O33" s="178">
        <f>R33/U33</f>
        <v>-1.3398294762484775E-2</v>
      </c>
      <c r="P33" s="179">
        <f>S33/V33</f>
        <v>-2.5380710659898477E-2</v>
      </c>
      <c r="Q33" s="22"/>
      <c r="R33" s="143">
        <f>B33-U33</f>
        <v>-33</v>
      </c>
      <c r="S33" s="143">
        <f>M33-V33</f>
        <v>-35</v>
      </c>
      <c r="U33" s="12">
        <f t="shared" ref="U33:U44" si="4">B8</f>
        <v>2463</v>
      </c>
      <c r="V33" s="12">
        <f t="shared" ref="V33:V44" si="5">M8</f>
        <v>1379</v>
      </c>
    </row>
    <row r="34" spans="1:22" ht="12.75" customHeight="1" x14ac:dyDescent="0.3">
      <c r="A34" t="s">
        <v>12</v>
      </c>
      <c r="B34" s="10">
        <v>2103</v>
      </c>
      <c r="C34" s="10">
        <v>957</v>
      </c>
      <c r="D34" s="10">
        <v>174</v>
      </c>
      <c r="E34" s="10">
        <v>1</v>
      </c>
      <c r="F34" s="10">
        <v>20</v>
      </c>
      <c r="G34" s="14">
        <v>1</v>
      </c>
      <c r="H34" s="14">
        <v>8</v>
      </c>
      <c r="I34" s="14">
        <v>0</v>
      </c>
      <c r="J34" s="14">
        <v>0</v>
      </c>
      <c r="K34" s="10">
        <v>23</v>
      </c>
      <c r="L34" s="28">
        <v>0</v>
      </c>
      <c r="M34" s="10">
        <f t="shared" si="3"/>
        <v>1184</v>
      </c>
      <c r="N34" s="10">
        <f>1597+1588</f>
        <v>3185</v>
      </c>
      <c r="O34" s="180">
        <f t="shared" ref="O34:O36" si="6">R34/U34</f>
        <v>1.4961389961389961E-2</v>
      </c>
      <c r="P34" s="181">
        <f t="shared" ref="P34:P37" si="7">S34/V34</f>
        <v>6.9557362240289064E-2</v>
      </c>
      <c r="Q34" s="22"/>
      <c r="R34" s="143">
        <f t="shared" ref="R34:R36" si="8">B34-U34</f>
        <v>31</v>
      </c>
      <c r="S34" s="143">
        <f>M34-V34</f>
        <v>77</v>
      </c>
      <c r="U34" s="12">
        <f t="shared" si="4"/>
        <v>2072</v>
      </c>
      <c r="V34" s="12">
        <f t="shared" si="5"/>
        <v>1107</v>
      </c>
    </row>
    <row r="35" spans="1:22" ht="12.75" customHeight="1" x14ac:dyDescent="0.3">
      <c r="A35" t="s">
        <v>13</v>
      </c>
      <c r="B35" s="10">
        <f>1160+676</f>
        <v>1836</v>
      </c>
      <c r="C35" s="10">
        <f>550+385</f>
        <v>935</v>
      </c>
      <c r="D35" s="10">
        <f>62+45</f>
        <v>107</v>
      </c>
      <c r="E35" s="10">
        <v>1</v>
      </c>
      <c r="F35" s="10">
        <f>12+8</f>
        <v>20</v>
      </c>
      <c r="G35" s="14">
        <v>2</v>
      </c>
      <c r="H35" s="14">
        <v>6</v>
      </c>
      <c r="I35" s="14">
        <v>0</v>
      </c>
      <c r="J35" s="14">
        <v>0</v>
      </c>
      <c r="K35" s="10">
        <v>9</v>
      </c>
      <c r="L35" s="28">
        <v>0</v>
      </c>
      <c r="M35" s="10">
        <f t="shared" si="3"/>
        <v>1080</v>
      </c>
      <c r="N35" s="10">
        <f>1139+728</f>
        <v>1867</v>
      </c>
      <c r="O35" s="180">
        <f t="shared" si="6"/>
        <v>-0.25396180414465663</v>
      </c>
      <c r="P35" s="181">
        <f t="shared" si="7"/>
        <v>-0.20937042459736457</v>
      </c>
      <c r="Q35" s="182"/>
      <c r="R35" s="143">
        <f t="shared" si="8"/>
        <v>-625</v>
      </c>
      <c r="S35" s="143">
        <f>M35-V35</f>
        <v>-286</v>
      </c>
      <c r="U35" s="12">
        <f t="shared" si="4"/>
        <v>2461</v>
      </c>
      <c r="V35" s="12">
        <f t="shared" si="5"/>
        <v>1366</v>
      </c>
    </row>
    <row r="36" spans="1:22" ht="12.75" customHeight="1" x14ac:dyDescent="0.3">
      <c r="A36" s="88" t="s">
        <v>14</v>
      </c>
      <c r="B36" s="71">
        <v>2910</v>
      </c>
      <c r="C36" s="71">
        <v>1255</v>
      </c>
      <c r="D36" s="71">
        <v>167</v>
      </c>
      <c r="E36" s="71">
        <v>1</v>
      </c>
      <c r="F36" s="71">
        <v>45</v>
      </c>
      <c r="G36" s="76">
        <v>1</v>
      </c>
      <c r="H36" s="76">
        <v>13</v>
      </c>
      <c r="I36" s="76">
        <v>4</v>
      </c>
      <c r="J36" s="76">
        <v>1</v>
      </c>
      <c r="K36" s="71">
        <v>48</v>
      </c>
      <c r="L36" s="28">
        <v>0</v>
      </c>
      <c r="M36" s="10">
        <f t="shared" si="3"/>
        <v>1535</v>
      </c>
      <c r="N36" s="10">
        <v>2918</v>
      </c>
      <c r="O36" s="180">
        <f t="shared" si="6"/>
        <v>-0.33682771194165906</v>
      </c>
      <c r="P36" s="181">
        <f t="shared" si="7"/>
        <v>-0.25916988416988418</v>
      </c>
      <c r="Q36" s="182"/>
      <c r="R36" s="143">
        <f t="shared" si="8"/>
        <v>-1478</v>
      </c>
      <c r="S36" s="143">
        <f>M36-V36</f>
        <v>-537</v>
      </c>
      <c r="U36" s="12">
        <f t="shared" si="4"/>
        <v>4388</v>
      </c>
      <c r="V36" s="12">
        <f t="shared" si="5"/>
        <v>2072</v>
      </c>
    </row>
    <row r="37" spans="1:22" ht="12.75" customHeight="1" x14ac:dyDescent="0.3">
      <c r="A37" t="s">
        <v>15</v>
      </c>
      <c r="B37" s="10">
        <v>6169</v>
      </c>
      <c r="C37" s="10">
        <v>2133</v>
      </c>
      <c r="D37" s="10">
        <v>243</v>
      </c>
      <c r="E37" s="10">
        <v>33</v>
      </c>
      <c r="F37" s="10">
        <v>75</v>
      </c>
      <c r="G37" s="14">
        <v>3</v>
      </c>
      <c r="H37" s="14">
        <v>43</v>
      </c>
      <c r="I37" s="14">
        <v>152</v>
      </c>
      <c r="J37" s="14">
        <v>32</v>
      </c>
      <c r="K37" s="10">
        <v>75</v>
      </c>
      <c r="L37" s="28">
        <v>0</v>
      </c>
      <c r="M37" s="10">
        <f t="shared" si="3"/>
        <v>2789</v>
      </c>
      <c r="N37" s="10">
        <v>5205</v>
      </c>
      <c r="O37" s="180">
        <f>R37/U37</f>
        <v>-5.2671990171990174E-2</v>
      </c>
      <c r="P37" s="181">
        <f t="shared" si="7"/>
        <v>4.1837878221890175E-2</v>
      </c>
      <c r="Q37" s="182"/>
      <c r="R37" s="143">
        <f>B37-U37</f>
        <v>-343</v>
      </c>
      <c r="S37" s="143">
        <f t="shared" ref="S37:S38" si="9">M37-V37</f>
        <v>112</v>
      </c>
      <c r="U37" s="12">
        <f t="shared" si="4"/>
        <v>6512</v>
      </c>
      <c r="V37" s="12">
        <f t="shared" si="5"/>
        <v>2677</v>
      </c>
    </row>
    <row r="38" spans="1:22" ht="12.75" customHeight="1" x14ac:dyDescent="0.3">
      <c r="A38" t="s">
        <v>16</v>
      </c>
      <c r="B38" s="10">
        <v>8575</v>
      </c>
      <c r="C38" s="10">
        <v>2574</v>
      </c>
      <c r="D38" s="10">
        <v>185</v>
      </c>
      <c r="E38" s="10">
        <v>38</v>
      </c>
      <c r="F38" s="10">
        <v>41</v>
      </c>
      <c r="G38" s="14">
        <v>14</v>
      </c>
      <c r="H38" s="14">
        <v>116</v>
      </c>
      <c r="I38" s="14">
        <v>533</v>
      </c>
      <c r="J38" s="14">
        <v>147</v>
      </c>
      <c r="K38" s="10">
        <v>120</v>
      </c>
      <c r="L38" s="28">
        <v>1</v>
      </c>
      <c r="M38" s="10">
        <f t="shared" si="3"/>
        <v>3768</v>
      </c>
      <c r="N38" s="10">
        <v>5423</v>
      </c>
      <c r="O38" s="180">
        <f>R38/U38</f>
        <v>4.3822276323797933E-2</v>
      </c>
      <c r="P38" s="181">
        <f>S38/V38</f>
        <v>5.4871220604703244E-2</v>
      </c>
      <c r="Q38" s="182"/>
      <c r="R38" s="143">
        <f>B38-U38</f>
        <v>360</v>
      </c>
      <c r="S38" s="143">
        <f t="shared" si="9"/>
        <v>196</v>
      </c>
      <c r="U38" s="12">
        <f t="shared" si="4"/>
        <v>8215</v>
      </c>
      <c r="V38" s="12">
        <f t="shared" si="5"/>
        <v>3572</v>
      </c>
    </row>
    <row r="39" spans="1:22" ht="12.75" customHeight="1" x14ac:dyDescent="0.3">
      <c r="A39" t="s">
        <v>17</v>
      </c>
      <c r="B39" s="10">
        <v>13374</v>
      </c>
      <c r="C39" s="10">
        <v>3654</v>
      </c>
      <c r="D39" s="10">
        <v>215</v>
      </c>
      <c r="E39" s="10">
        <v>28</v>
      </c>
      <c r="F39" s="10">
        <v>33</v>
      </c>
      <c r="G39" s="14">
        <v>40</v>
      </c>
      <c r="H39" s="14">
        <v>214</v>
      </c>
      <c r="I39" s="14">
        <v>1578</v>
      </c>
      <c r="J39" s="14">
        <v>328</v>
      </c>
      <c r="K39" s="10">
        <v>75</v>
      </c>
      <c r="L39" s="28">
        <v>16</v>
      </c>
      <c r="M39" s="10">
        <f t="shared" si="3"/>
        <v>6165</v>
      </c>
      <c r="N39" s="10">
        <v>5506</v>
      </c>
      <c r="O39" s="180">
        <f>R39/U39</f>
        <v>-3.1571325126719771E-2</v>
      </c>
      <c r="P39" s="181">
        <f t="shared" ref="P39:P44" si="10">S39/V39</f>
        <v>-2.7449124467581638E-2</v>
      </c>
      <c r="Q39" s="182"/>
      <c r="R39" s="143">
        <f>B39-U39</f>
        <v>-436</v>
      </c>
      <c r="S39" s="143">
        <f>M39-V39</f>
        <v>-174</v>
      </c>
      <c r="U39" s="12">
        <f t="shared" si="4"/>
        <v>13810</v>
      </c>
      <c r="V39" s="12">
        <f t="shared" si="5"/>
        <v>6339</v>
      </c>
    </row>
    <row r="40" spans="1:22" ht="12.75" customHeight="1" x14ac:dyDescent="0.3">
      <c r="A40" t="s">
        <v>18</v>
      </c>
      <c r="B40" s="10">
        <v>9438</v>
      </c>
      <c r="C40" s="10">
        <v>2923</v>
      </c>
      <c r="D40" s="10">
        <v>208</v>
      </c>
      <c r="E40" s="10">
        <v>57</v>
      </c>
      <c r="F40" s="10">
        <v>63</v>
      </c>
      <c r="G40" s="14">
        <v>14</v>
      </c>
      <c r="H40" s="14">
        <v>142</v>
      </c>
      <c r="I40" s="14">
        <v>683</v>
      </c>
      <c r="J40" s="14">
        <v>200</v>
      </c>
      <c r="K40" s="10">
        <v>47</v>
      </c>
      <c r="L40" s="28">
        <v>0</v>
      </c>
      <c r="M40" s="10">
        <f t="shared" si="3"/>
        <v>4337</v>
      </c>
      <c r="N40" s="10">
        <v>5132</v>
      </c>
      <c r="O40" s="180">
        <f t="shared" ref="O40:O44" si="11">R40/U40</f>
        <v>2.6559014129395515E-3</v>
      </c>
      <c r="P40" s="181">
        <f t="shared" si="10"/>
        <v>9.3269473153516511E-2</v>
      </c>
      <c r="Q40" s="22"/>
      <c r="R40" s="143">
        <f>B40-U40</f>
        <v>25</v>
      </c>
      <c r="S40" s="143">
        <f t="shared" ref="S40:S44" si="12">M40-V40</f>
        <v>370</v>
      </c>
      <c r="U40" s="12">
        <f t="shared" si="4"/>
        <v>9413</v>
      </c>
      <c r="V40" s="12">
        <f t="shared" si="5"/>
        <v>3967</v>
      </c>
    </row>
    <row r="41" spans="1:22" ht="12.75" customHeight="1" x14ac:dyDescent="0.3">
      <c r="A41" t="s">
        <v>19</v>
      </c>
      <c r="B41" s="10">
        <f>1513+1191</f>
        <v>2704</v>
      </c>
      <c r="C41" s="10">
        <f>710+133</f>
        <v>843</v>
      </c>
      <c r="D41" s="102">
        <f>95+133</f>
        <v>228</v>
      </c>
      <c r="E41" s="10">
        <v>4</v>
      </c>
      <c r="F41" s="10">
        <v>66</v>
      </c>
      <c r="G41" s="14">
        <v>2</v>
      </c>
      <c r="H41" s="14">
        <v>50</v>
      </c>
      <c r="I41" s="14">
        <v>48</v>
      </c>
      <c r="J41" s="14">
        <v>26</v>
      </c>
      <c r="K41" s="10">
        <v>30</v>
      </c>
      <c r="L41" s="28">
        <v>8</v>
      </c>
      <c r="M41" s="10">
        <f>SUM(C41:K41)</f>
        <v>1297</v>
      </c>
      <c r="N41" s="10">
        <v>1828</v>
      </c>
      <c r="O41" s="180">
        <f t="shared" si="11"/>
        <v>-0.45626382465312687</v>
      </c>
      <c r="P41" s="181">
        <f t="shared" si="10"/>
        <v>-0.48816101026045777</v>
      </c>
      <c r="Q41" s="22"/>
      <c r="R41" s="143">
        <f t="shared" ref="R41:R42" si="13">B41-U41</f>
        <v>-2269</v>
      </c>
      <c r="S41" s="143">
        <f t="shared" si="12"/>
        <v>-1237</v>
      </c>
      <c r="U41" s="12">
        <f t="shared" si="4"/>
        <v>4973</v>
      </c>
      <c r="V41" s="12">
        <f t="shared" si="5"/>
        <v>2534</v>
      </c>
    </row>
    <row r="42" spans="1:22" ht="12.75" customHeight="1" x14ac:dyDescent="0.3">
      <c r="A42" t="s">
        <v>20</v>
      </c>
      <c r="B42" s="10">
        <v>4081</v>
      </c>
      <c r="C42" s="10">
        <v>1796</v>
      </c>
      <c r="D42" s="10">
        <v>257</v>
      </c>
      <c r="E42" s="10">
        <v>2</v>
      </c>
      <c r="F42" s="10">
        <v>29</v>
      </c>
      <c r="G42" s="14">
        <v>6</v>
      </c>
      <c r="H42" s="14">
        <v>130</v>
      </c>
      <c r="I42" s="14">
        <v>2</v>
      </c>
      <c r="J42" s="14">
        <v>0</v>
      </c>
      <c r="K42" s="10">
        <v>46</v>
      </c>
      <c r="L42" s="28">
        <v>0</v>
      </c>
      <c r="M42" s="10">
        <f t="shared" ref="M42" si="14">SUM(C42:K42)</f>
        <v>2268</v>
      </c>
      <c r="N42" s="10">
        <v>4728</v>
      </c>
      <c r="O42" s="180">
        <f t="shared" si="11"/>
        <v>-2.508361204013378E-2</v>
      </c>
      <c r="P42" s="181">
        <f t="shared" si="10"/>
        <v>8.257756563245823E-2</v>
      </c>
      <c r="Q42" s="22"/>
      <c r="R42" s="143">
        <f t="shared" si="13"/>
        <v>-105</v>
      </c>
      <c r="S42" s="143">
        <f t="shared" si="12"/>
        <v>173</v>
      </c>
      <c r="U42" s="12">
        <f t="shared" si="4"/>
        <v>4186</v>
      </c>
      <c r="V42" s="12">
        <f t="shared" si="5"/>
        <v>2095</v>
      </c>
    </row>
    <row r="43" spans="1:22" ht="12.75" customHeight="1" x14ac:dyDescent="0.3">
      <c r="A43" t="s">
        <v>21</v>
      </c>
      <c r="B43" s="10">
        <f>733+2789</f>
        <v>3522</v>
      </c>
      <c r="C43" s="10">
        <f>418+1279</f>
        <v>1697</v>
      </c>
      <c r="D43" s="10">
        <f>52+242</f>
        <v>294</v>
      </c>
      <c r="E43" s="10">
        <f>1+1</f>
        <v>2</v>
      </c>
      <c r="F43" s="10">
        <f>8+18</f>
        <v>26</v>
      </c>
      <c r="G43" s="10">
        <f>1+1</f>
        <v>2</v>
      </c>
      <c r="H43" s="10">
        <v>10</v>
      </c>
      <c r="I43" s="10">
        <v>2</v>
      </c>
      <c r="J43" s="10">
        <v>0</v>
      </c>
      <c r="K43" s="10">
        <v>35</v>
      </c>
      <c r="L43" s="31">
        <v>0</v>
      </c>
      <c r="M43" s="10">
        <f>SUM(C43:L43)</f>
        <v>2068</v>
      </c>
      <c r="N43" s="10">
        <f>857+4332</f>
        <v>5189</v>
      </c>
      <c r="O43" s="180">
        <f t="shared" si="11"/>
        <v>0.198366791425655</v>
      </c>
      <c r="P43" s="181">
        <f t="shared" si="10"/>
        <v>-0.12409995764506565</v>
      </c>
      <c r="Q43" s="22"/>
      <c r="R43" s="143">
        <f>B43-U43</f>
        <v>583</v>
      </c>
      <c r="S43" s="143">
        <f t="shared" si="12"/>
        <v>-293</v>
      </c>
      <c r="U43" s="12">
        <f t="shared" si="4"/>
        <v>2939</v>
      </c>
      <c r="V43" s="12">
        <f t="shared" si="5"/>
        <v>2361</v>
      </c>
    </row>
    <row r="44" spans="1:22" ht="12.75" customHeight="1" thickBot="1" x14ac:dyDescent="0.35">
      <c r="A44" s="4" t="s">
        <v>22</v>
      </c>
      <c r="B44" s="11">
        <f>109+2707</f>
        <v>2816</v>
      </c>
      <c r="C44" s="11">
        <f>62+1250</f>
        <v>1312</v>
      </c>
      <c r="D44" s="11">
        <f>4+180</f>
        <v>184</v>
      </c>
      <c r="E44" s="11">
        <v>1</v>
      </c>
      <c r="F44" s="11">
        <v>0</v>
      </c>
      <c r="G44" s="15">
        <v>0</v>
      </c>
      <c r="H44" s="15">
        <f>1+1</f>
        <v>2</v>
      </c>
      <c r="I44" s="15">
        <v>0</v>
      </c>
      <c r="J44" s="15">
        <v>0</v>
      </c>
      <c r="K44" s="11">
        <v>0</v>
      </c>
      <c r="L44" s="30">
        <v>0</v>
      </c>
      <c r="M44" s="10">
        <f>SUM(C44:L44)</f>
        <v>1499</v>
      </c>
      <c r="N44" s="81">
        <f>154+3032</f>
        <v>3186</v>
      </c>
      <c r="O44" s="183">
        <f t="shared" si="11"/>
        <v>-4.412763068567549E-2</v>
      </c>
      <c r="P44" s="184">
        <f t="shared" si="10"/>
        <v>-7.2847682119205302E-3</v>
      </c>
      <c r="Q44" s="22"/>
      <c r="R44" s="185">
        <f>B44-U44</f>
        <v>-130</v>
      </c>
      <c r="S44" s="185">
        <f t="shared" si="12"/>
        <v>-11</v>
      </c>
      <c r="U44" s="20">
        <f t="shared" si="4"/>
        <v>2946</v>
      </c>
      <c r="V44" s="20">
        <f t="shared" si="5"/>
        <v>1510</v>
      </c>
    </row>
    <row r="45" spans="1:22" ht="12.75" customHeight="1" x14ac:dyDescent="0.3">
      <c r="A45" s="3" t="s">
        <v>106</v>
      </c>
      <c r="B45" s="8">
        <f>SUM(B33:B44)</f>
        <v>59958</v>
      </c>
      <c r="C45" s="8">
        <f t="shared" ref="C45:N45" si="15">SUM(C33:C44)</f>
        <v>21166</v>
      </c>
      <c r="D45" s="8">
        <f t="shared" si="15"/>
        <v>2472</v>
      </c>
      <c r="E45" s="8">
        <f t="shared" si="15"/>
        <v>169</v>
      </c>
      <c r="F45" s="8">
        <f t="shared" si="15"/>
        <v>439</v>
      </c>
      <c r="G45" s="68">
        <f t="shared" si="15"/>
        <v>85</v>
      </c>
      <c r="H45" s="68">
        <f t="shared" si="15"/>
        <v>744</v>
      </c>
      <c r="I45" s="61">
        <f t="shared" si="15"/>
        <v>3002</v>
      </c>
      <c r="J45" s="61">
        <f t="shared" si="15"/>
        <v>734</v>
      </c>
      <c r="K45" s="8">
        <f t="shared" si="15"/>
        <v>523</v>
      </c>
      <c r="L45" s="28">
        <f t="shared" si="15"/>
        <v>25</v>
      </c>
      <c r="M45" s="41">
        <f t="shared" si="15"/>
        <v>29334</v>
      </c>
      <c r="N45" s="8">
        <f t="shared" si="15"/>
        <v>47831</v>
      </c>
      <c r="O45" s="186">
        <f>R45/U45</f>
        <v>-6.8656994625493184E-2</v>
      </c>
      <c r="P45" s="187">
        <f>S45/V45</f>
        <v>-5.3100487426966658E-2</v>
      </c>
      <c r="Q45" s="22"/>
      <c r="R45" s="143">
        <f>SUM(R33:R44)</f>
        <v>-4420</v>
      </c>
      <c r="S45" s="143">
        <f>SUM(S33:S44)</f>
        <v>-1645</v>
      </c>
      <c r="U45" s="12">
        <f>SUM(U33:U44)</f>
        <v>64378</v>
      </c>
      <c r="V45" s="12">
        <f>SUM(V33:V44)</f>
        <v>30979</v>
      </c>
    </row>
    <row r="46" spans="1:22" ht="12.75" customHeight="1" x14ac:dyDescent="0.3">
      <c r="A46" s="5" t="s">
        <v>93</v>
      </c>
      <c r="B46" s="9">
        <v>64378</v>
      </c>
      <c r="C46" s="9">
        <v>22953</v>
      </c>
      <c r="D46" s="9">
        <v>2463</v>
      </c>
      <c r="E46" s="9">
        <v>176</v>
      </c>
      <c r="F46" s="9">
        <v>591</v>
      </c>
      <c r="G46" s="9">
        <v>125</v>
      </c>
      <c r="H46" s="9">
        <v>695</v>
      </c>
      <c r="I46" s="9">
        <v>2723</v>
      </c>
      <c r="J46" s="9">
        <v>797</v>
      </c>
      <c r="K46" s="9">
        <v>456</v>
      </c>
      <c r="L46" s="9">
        <v>64</v>
      </c>
      <c r="M46" s="9">
        <v>30979</v>
      </c>
      <c r="N46" s="9">
        <v>50684.5</v>
      </c>
      <c r="O46" s="21">
        <v>-4.2165089567339165E-2</v>
      </c>
      <c r="P46" s="156">
        <v>-3.1213798429656327E-3</v>
      </c>
    </row>
    <row r="47" spans="1:22" ht="12.75" customHeight="1" x14ac:dyDescent="0.3">
      <c r="A47" s="5" t="s">
        <v>23</v>
      </c>
      <c r="B47" s="9">
        <f t="shared" ref="B47:N47" si="16">B45-B46</f>
        <v>-4420</v>
      </c>
      <c r="C47" s="9">
        <f t="shared" si="16"/>
        <v>-1787</v>
      </c>
      <c r="D47" s="9">
        <f t="shared" si="16"/>
        <v>9</v>
      </c>
      <c r="E47" s="9">
        <f t="shared" si="16"/>
        <v>-7</v>
      </c>
      <c r="F47" s="9">
        <f t="shared" si="16"/>
        <v>-152</v>
      </c>
      <c r="G47" s="9">
        <f t="shared" si="16"/>
        <v>-40</v>
      </c>
      <c r="H47" s="9">
        <f t="shared" si="16"/>
        <v>49</v>
      </c>
      <c r="I47" s="9">
        <f t="shared" si="16"/>
        <v>279</v>
      </c>
      <c r="J47" s="9">
        <f t="shared" si="16"/>
        <v>-63</v>
      </c>
      <c r="K47" s="9">
        <f t="shared" si="16"/>
        <v>67</v>
      </c>
      <c r="L47" s="29">
        <f t="shared" si="16"/>
        <v>-39</v>
      </c>
      <c r="M47" s="9">
        <f t="shared" si="16"/>
        <v>-1645</v>
      </c>
      <c r="N47" s="9">
        <f t="shared" si="16"/>
        <v>-2853.5</v>
      </c>
      <c r="O47" s="48"/>
      <c r="P47" s="158"/>
      <c r="R47" s="13"/>
      <c r="S47" s="13"/>
      <c r="T47" s="13"/>
    </row>
    <row r="50" spans="1:24" ht="12.75" customHeight="1" x14ac:dyDescent="0.25">
      <c r="B50" s="332"/>
      <c r="C50" s="333"/>
      <c r="D50" s="333"/>
      <c r="E50" s="333"/>
      <c r="F50" s="333"/>
      <c r="G50" s="333"/>
      <c r="H50" s="333"/>
      <c r="I50" s="333"/>
      <c r="J50" s="333"/>
      <c r="K50" s="334"/>
    </row>
    <row r="51" spans="1:24" ht="18" x14ac:dyDescent="0.25">
      <c r="B51" s="25"/>
      <c r="C51" s="3" t="s">
        <v>138</v>
      </c>
      <c r="F51" s="335" t="s">
        <v>139</v>
      </c>
      <c r="K51" s="337"/>
    </row>
    <row r="52" spans="1:24" ht="12.75" customHeight="1" x14ac:dyDescent="0.25">
      <c r="B52" s="86"/>
      <c r="C52" s="4"/>
      <c r="D52" s="4"/>
      <c r="E52" s="4"/>
      <c r="F52" s="4"/>
      <c r="G52" s="4"/>
      <c r="H52" s="4"/>
      <c r="I52" s="4"/>
      <c r="J52" s="4"/>
      <c r="K52" s="97"/>
    </row>
    <row r="54" spans="1:24" ht="12.75" customHeight="1" x14ac:dyDescent="0.3">
      <c r="A54" s="35" t="s">
        <v>0</v>
      </c>
      <c r="B54" s="82" t="s">
        <v>1</v>
      </c>
      <c r="C54" s="82" t="s">
        <v>2</v>
      </c>
      <c r="D54" s="82" t="s">
        <v>3</v>
      </c>
      <c r="E54" s="82" t="s">
        <v>4</v>
      </c>
      <c r="F54" s="82" t="s">
        <v>55</v>
      </c>
      <c r="G54" s="82" t="s">
        <v>45</v>
      </c>
      <c r="H54" s="82" t="s">
        <v>46</v>
      </c>
      <c r="I54" s="82" t="s">
        <v>48</v>
      </c>
      <c r="J54" s="82" t="s">
        <v>47</v>
      </c>
      <c r="K54" s="82" t="s">
        <v>6</v>
      </c>
      <c r="L54" s="339" t="s">
        <v>44</v>
      </c>
      <c r="M54" s="35" t="s">
        <v>8</v>
      </c>
      <c r="N54" s="82" t="s">
        <v>10</v>
      </c>
      <c r="O54" s="82" t="s">
        <v>1</v>
      </c>
      <c r="P54" s="82" t="s">
        <v>9</v>
      </c>
      <c r="R54" s="163" t="s">
        <v>129</v>
      </c>
      <c r="S54" s="163" t="s">
        <v>130</v>
      </c>
      <c r="U54" s="163" t="s">
        <v>103</v>
      </c>
      <c r="V54" s="163" t="s">
        <v>104</v>
      </c>
    </row>
    <row r="55" spans="1:24" ht="12.75" customHeight="1" x14ac:dyDescent="0.3">
      <c r="A55" t="s">
        <v>11</v>
      </c>
      <c r="B55" s="10">
        <v>2348</v>
      </c>
      <c r="C55" s="10">
        <v>1092</v>
      </c>
      <c r="D55" s="10">
        <v>236</v>
      </c>
      <c r="E55" s="10">
        <v>0</v>
      </c>
      <c r="F55" s="10">
        <v>9</v>
      </c>
      <c r="G55" s="14">
        <v>0</v>
      </c>
      <c r="H55" s="14">
        <v>9</v>
      </c>
      <c r="I55" s="14">
        <v>0</v>
      </c>
      <c r="J55" s="14">
        <v>26</v>
      </c>
      <c r="K55" s="10">
        <v>9</v>
      </c>
      <c r="L55" s="31">
        <v>0</v>
      </c>
      <c r="M55" s="10">
        <f t="shared" ref="M55:M62" si="17">SUM(C55:K55)</f>
        <v>1381</v>
      </c>
      <c r="N55" s="10">
        <v>3199</v>
      </c>
      <c r="O55" s="340">
        <f t="shared" ref="O55:P67" si="18">R55/U55</f>
        <v>-3.3744855967078193E-2</v>
      </c>
      <c r="P55" s="286">
        <f t="shared" si="18"/>
        <v>2.7529761904761904E-2</v>
      </c>
      <c r="R55" s="143">
        <f t="shared" ref="R55:R66" si="19">B55-U55</f>
        <v>-82</v>
      </c>
      <c r="S55" s="143">
        <f t="shared" ref="S55:S66" si="20">M55-V55</f>
        <v>37</v>
      </c>
      <c r="U55" s="12">
        <v>2430</v>
      </c>
      <c r="V55" s="12">
        <v>1344</v>
      </c>
    </row>
    <row r="56" spans="1:24" ht="12.75" customHeight="1" x14ac:dyDescent="0.3">
      <c r="A56" t="s">
        <v>12</v>
      </c>
      <c r="B56" s="10">
        <v>1989</v>
      </c>
      <c r="C56" s="10">
        <v>957</v>
      </c>
      <c r="D56" s="10">
        <v>141</v>
      </c>
      <c r="E56" s="10">
        <v>0</v>
      </c>
      <c r="F56" s="10">
        <v>12</v>
      </c>
      <c r="G56" s="14">
        <v>0</v>
      </c>
      <c r="H56" s="14">
        <v>7</v>
      </c>
      <c r="I56" s="14">
        <v>0</v>
      </c>
      <c r="J56" s="14">
        <v>0</v>
      </c>
      <c r="K56" s="10">
        <v>20</v>
      </c>
      <c r="L56" s="31">
        <v>0</v>
      </c>
      <c r="M56" s="10">
        <f t="shared" si="17"/>
        <v>1137</v>
      </c>
      <c r="N56" s="10">
        <v>2407</v>
      </c>
      <c r="O56" s="341">
        <f t="shared" si="18"/>
        <v>-5.4208273894436519E-2</v>
      </c>
      <c r="P56" s="287">
        <f t="shared" si="18"/>
        <v>-3.9695945945945943E-2</v>
      </c>
      <c r="R56" s="143">
        <f t="shared" si="19"/>
        <v>-114</v>
      </c>
      <c r="S56" s="143">
        <f t="shared" si="20"/>
        <v>-47</v>
      </c>
      <c r="U56" s="12">
        <v>2103</v>
      </c>
      <c r="V56" s="12">
        <v>1184</v>
      </c>
    </row>
    <row r="57" spans="1:24" ht="12.75" customHeight="1" x14ac:dyDescent="0.3">
      <c r="A57" t="s">
        <v>13</v>
      </c>
      <c r="B57" s="10">
        <v>2716</v>
      </c>
      <c r="C57" s="10">
        <v>1210</v>
      </c>
      <c r="D57" s="10">
        <v>105</v>
      </c>
      <c r="E57" s="10">
        <v>0</v>
      </c>
      <c r="F57" s="10">
        <v>18</v>
      </c>
      <c r="G57" s="14">
        <v>0</v>
      </c>
      <c r="H57" s="14">
        <v>5</v>
      </c>
      <c r="I57" s="14">
        <v>0</v>
      </c>
      <c r="J57" s="14">
        <v>0</v>
      </c>
      <c r="K57" s="10">
        <v>21</v>
      </c>
      <c r="L57" s="31">
        <v>0</v>
      </c>
      <c r="M57" s="10">
        <f t="shared" si="17"/>
        <v>1359</v>
      </c>
      <c r="N57" s="10">
        <v>1811</v>
      </c>
      <c r="O57" s="341">
        <f t="shared" si="18"/>
        <v>0.47930283224400871</v>
      </c>
      <c r="P57" s="287">
        <f t="shared" si="18"/>
        <v>0.25833333333333336</v>
      </c>
      <c r="R57" s="143">
        <f t="shared" si="19"/>
        <v>880</v>
      </c>
      <c r="S57" s="143">
        <f t="shared" si="20"/>
        <v>279</v>
      </c>
      <c r="U57" s="12">
        <v>1836</v>
      </c>
      <c r="V57" s="12">
        <v>1080</v>
      </c>
    </row>
    <row r="58" spans="1:24" ht="12.75" customHeight="1" x14ac:dyDescent="0.3">
      <c r="A58" s="22" t="s">
        <v>14</v>
      </c>
      <c r="B58" s="16">
        <f>2534</f>
        <v>2534</v>
      </c>
      <c r="C58" s="16">
        <f>1108</f>
        <v>1108</v>
      </c>
      <c r="D58" s="16">
        <f>149</f>
        <v>149</v>
      </c>
      <c r="E58" s="16">
        <f>2</f>
        <v>2</v>
      </c>
      <c r="F58" s="16">
        <f>65</f>
        <v>65</v>
      </c>
      <c r="G58" s="329">
        <f>3</f>
        <v>3</v>
      </c>
      <c r="H58" s="329">
        <f>9</f>
        <v>9</v>
      </c>
      <c r="I58" s="329">
        <f>1</f>
        <v>1</v>
      </c>
      <c r="J58" s="329">
        <f>2</f>
        <v>2</v>
      </c>
      <c r="K58" s="16">
        <f>8</f>
        <v>8</v>
      </c>
      <c r="L58" s="31">
        <v>2</v>
      </c>
      <c r="M58" s="10">
        <f t="shared" si="17"/>
        <v>1347</v>
      </c>
      <c r="N58" s="10">
        <v>2582</v>
      </c>
      <c r="O58" s="341">
        <f t="shared" si="18"/>
        <v>-0.12920962199312716</v>
      </c>
      <c r="P58" s="287">
        <f t="shared" si="18"/>
        <v>-0.12247557003257328</v>
      </c>
      <c r="R58" s="143">
        <f t="shared" si="19"/>
        <v>-376</v>
      </c>
      <c r="S58" s="143">
        <f t="shared" si="20"/>
        <v>-188</v>
      </c>
      <c r="U58" s="12">
        <v>2910</v>
      </c>
      <c r="V58" s="12">
        <v>1535</v>
      </c>
      <c r="X58" t="s">
        <v>140</v>
      </c>
    </row>
    <row r="59" spans="1:24" ht="12.75" customHeight="1" x14ac:dyDescent="0.3">
      <c r="A59" t="s">
        <v>15</v>
      </c>
      <c r="B59" s="10">
        <v>5613</v>
      </c>
      <c r="C59" s="10">
        <v>2219</v>
      </c>
      <c r="D59" s="10">
        <v>212</v>
      </c>
      <c r="E59" s="10">
        <v>20</v>
      </c>
      <c r="F59" s="10">
        <v>68</v>
      </c>
      <c r="G59" s="14">
        <v>5</v>
      </c>
      <c r="H59" s="14">
        <v>68</v>
      </c>
      <c r="I59" s="14">
        <v>111</v>
      </c>
      <c r="J59" s="14">
        <v>19</v>
      </c>
      <c r="K59" s="10">
        <v>75</v>
      </c>
      <c r="L59" s="31">
        <v>0</v>
      </c>
      <c r="M59" s="10">
        <f t="shared" si="17"/>
        <v>2797</v>
      </c>
      <c r="N59" s="10">
        <v>5012</v>
      </c>
      <c r="O59" s="341">
        <f t="shared" si="18"/>
        <v>-9.0128059653104234E-2</v>
      </c>
      <c r="P59" s="287">
        <f t="shared" si="18"/>
        <v>2.8684116170670493E-3</v>
      </c>
      <c r="R59" s="143">
        <f t="shared" si="19"/>
        <v>-556</v>
      </c>
      <c r="S59" s="143">
        <f t="shared" si="20"/>
        <v>8</v>
      </c>
      <c r="U59" s="12">
        <v>6169</v>
      </c>
      <c r="V59" s="12">
        <v>2789</v>
      </c>
    </row>
    <row r="60" spans="1:24" ht="12.75" customHeight="1" x14ac:dyDescent="0.3">
      <c r="A60" t="s">
        <v>16</v>
      </c>
      <c r="B60" s="10">
        <v>8624</v>
      </c>
      <c r="C60" s="10">
        <v>2722</v>
      </c>
      <c r="D60" s="10">
        <v>183</v>
      </c>
      <c r="E60" s="10">
        <v>26</v>
      </c>
      <c r="F60" s="10">
        <v>52</v>
      </c>
      <c r="G60" s="14">
        <v>16</v>
      </c>
      <c r="H60" s="14">
        <v>127</v>
      </c>
      <c r="I60" s="14">
        <v>510</v>
      </c>
      <c r="J60" s="14">
        <v>210</v>
      </c>
      <c r="K60" s="10">
        <v>76</v>
      </c>
      <c r="L60" s="31">
        <v>8</v>
      </c>
      <c r="M60" s="10">
        <f t="shared" si="17"/>
        <v>3922</v>
      </c>
      <c r="N60" s="10">
        <v>4873</v>
      </c>
      <c r="O60" s="341">
        <f t="shared" si="18"/>
        <v>5.7142857142857143E-3</v>
      </c>
      <c r="P60" s="287">
        <f t="shared" si="18"/>
        <v>4.087048832271762E-2</v>
      </c>
      <c r="R60" s="143">
        <f t="shared" si="19"/>
        <v>49</v>
      </c>
      <c r="S60" s="143">
        <f t="shared" si="20"/>
        <v>154</v>
      </c>
      <c r="U60" s="12">
        <v>8575</v>
      </c>
      <c r="V60" s="12">
        <v>3768</v>
      </c>
    </row>
    <row r="61" spans="1:24" ht="12.75" customHeight="1" x14ac:dyDescent="0.3">
      <c r="A61" t="s">
        <v>17</v>
      </c>
      <c r="B61" s="10">
        <v>12465</v>
      </c>
      <c r="C61" s="10">
        <v>3721</v>
      </c>
      <c r="D61" s="10">
        <v>207</v>
      </c>
      <c r="E61" s="10">
        <v>24</v>
      </c>
      <c r="F61" s="10">
        <v>52</v>
      </c>
      <c r="G61" s="14">
        <v>36</v>
      </c>
      <c r="H61" s="14">
        <v>221</v>
      </c>
      <c r="I61" s="14">
        <v>1539</v>
      </c>
      <c r="J61" s="14">
        <v>426</v>
      </c>
      <c r="K61" s="10">
        <v>92</v>
      </c>
      <c r="L61" s="31">
        <v>11</v>
      </c>
      <c r="M61" s="10">
        <f>SUM(C61:K61)</f>
        <v>6318</v>
      </c>
      <c r="N61" s="10">
        <v>2955</v>
      </c>
      <c r="O61" s="341">
        <f t="shared" si="18"/>
        <v>-6.7967698519515479E-2</v>
      </c>
      <c r="P61" s="287">
        <f t="shared" si="18"/>
        <v>2.4817518248175182E-2</v>
      </c>
      <c r="R61" s="143">
        <f t="shared" si="19"/>
        <v>-909</v>
      </c>
      <c r="S61" s="143">
        <f t="shared" si="20"/>
        <v>153</v>
      </c>
      <c r="U61" s="12">
        <v>13374</v>
      </c>
      <c r="V61" s="12">
        <v>6165</v>
      </c>
    </row>
    <row r="62" spans="1:24" ht="12.75" customHeight="1" x14ac:dyDescent="0.3">
      <c r="A62" t="s">
        <v>18</v>
      </c>
      <c r="B62" s="10">
        <v>9431</v>
      </c>
      <c r="C62" s="10">
        <v>2808</v>
      </c>
      <c r="D62" s="10">
        <v>175</v>
      </c>
      <c r="E62" s="10">
        <v>165</v>
      </c>
      <c r="F62" s="10">
        <v>29</v>
      </c>
      <c r="G62" s="14">
        <v>13</v>
      </c>
      <c r="H62" s="14">
        <v>167</v>
      </c>
      <c r="I62" s="14">
        <v>598</v>
      </c>
      <c r="J62" s="14">
        <v>210</v>
      </c>
      <c r="K62" s="10">
        <v>58</v>
      </c>
      <c r="L62" s="31">
        <v>3</v>
      </c>
      <c r="M62" s="10">
        <f t="shared" si="17"/>
        <v>4223</v>
      </c>
      <c r="N62" s="10">
        <v>4789</v>
      </c>
      <c r="O62" s="341">
        <f t="shared" si="18"/>
        <v>-7.4168255986437808E-4</v>
      </c>
      <c r="P62" s="287">
        <f t="shared" si="18"/>
        <v>-2.6285450772423335E-2</v>
      </c>
      <c r="R62" s="143">
        <f t="shared" si="19"/>
        <v>-7</v>
      </c>
      <c r="S62" s="143">
        <f t="shared" si="20"/>
        <v>-114</v>
      </c>
      <c r="U62" s="12">
        <v>9438</v>
      </c>
      <c r="V62" s="12">
        <v>4337</v>
      </c>
    </row>
    <row r="63" spans="1:24" ht="12.75" customHeight="1" x14ac:dyDescent="0.3">
      <c r="A63" t="s">
        <v>19</v>
      </c>
      <c r="B63" s="10">
        <v>4752</v>
      </c>
      <c r="C63" s="10">
        <v>1921</v>
      </c>
      <c r="D63" s="102">
        <v>177</v>
      </c>
      <c r="E63" s="10">
        <v>15</v>
      </c>
      <c r="F63" s="10">
        <v>82</v>
      </c>
      <c r="G63" s="14">
        <v>5</v>
      </c>
      <c r="H63" s="14">
        <v>37</v>
      </c>
      <c r="I63" s="14">
        <v>40</v>
      </c>
      <c r="J63" s="14">
        <v>25</v>
      </c>
      <c r="K63" s="10">
        <v>24</v>
      </c>
      <c r="L63" s="31">
        <v>3</v>
      </c>
      <c r="M63" s="10">
        <f>SUM(C63:K63)</f>
        <v>2326</v>
      </c>
      <c r="N63" s="10">
        <v>4057</v>
      </c>
      <c r="O63" s="341">
        <f t="shared" si="18"/>
        <v>0.75739644970414199</v>
      </c>
      <c r="P63" s="287">
        <f t="shared" si="18"/>
        <v>0.79336931380107945</v>
      </c>
      <c r="R63" s="143">
        <f t="shared" si="19"/>
        <v>2048</v>
      </c>
      <c r="S63" s="143">
        <f t="shared" si="20"/>
        <v>1029</v>
      </c>
      <c r="U63" s="12">
        <v>2704</v>
      </c>
      <c r="V63" s="12">
        <v>1297</v>
      </c>
    </row>
    <row r="64" spans="1:24" ht="12.75" customHeight="1" x14ac:dyDescent="0.3">
      <c r="A64" t="s">
        <v>20</v>
      </c>
      <c r="B64" s="10">
        <v>3726</v>
      </c>
      <c r="C64" s="10">
        <v>1738</v>
      </c>
      <c r="D64" s="10">
        <v>241</v>
      </c>
      <c r="E64" s="10">
        <v>0</v>
      </c>
      <c r="F64" s="10">
        <v>58</v>
      </c>
      <c r="G64" s="14">
        <v>2</v>
      </c>
      <c r="H64" s="14">
        <v>23</v>
      </c>
      <c r="I64" s="14">
        <v>4</v>
      </c>
      <c r="J64" s="14">
        <v>0</v>
      </c>
      <c r="K64" s="10">
        <v>27</v>
      </c>
      <c r="L64" s="31">
        <v>0</v>
      </c>
      <c r="M64" s="10">
        <f>SUM(C64:K64)</f>
        <v>2093</v>
      </c>
      <c r="N64" s="10">
        <v>5093</v>
      </c>
      <c r="O64" s="341">
        <f t="shared" si="18"/>
        <v>-8.6988483214898313E-2</v>
      </c>
      <c r="P64" s="287">
        <f t="shared" si="18"/>
        <v>-7.716049382716049E-2</v>
      </c>
      <c r="R64" s="143">
        <f t="shared" si="19"/>
        <v>-355</v>
      </c>
      <c r="S64" s="143">
        <f t="shared" si="20"/>
        <v>-175</v>
      </c>
      <c r="U64" s="12">
        <v>4081</v>
      </c>
      <c r="V64" s="12">
        <v>2268</v>
      </c>
    </row>
    <row r="65" spans="1:22" ht="12.75" customHeight="1" x14ac:dyDescent="0.3">
      <c r="A65" t="s">
        <v>21</v>
      </c>
      <c r="B65" s="10">
        <v>2736</v>
      </c>
      <c r="C65" s="10">
        <v>1349</v>
      </c>
      <c r="D65" s="10">
        <v>247</v>
      </c>
      <c r="E65" s="10">
        <v>3</v>
      </c>
      <c r="F65" s="10">
        <v>23</v>
      </c>
      <c r="G65" s="10">
        <v>2</v>
      </c>
      <c r="H65" s="10">
        <v>2</v>
      </c>
      <c r="I65" s="10">
        <v>0</v>
      </c>
      <c r="J65" s="10">
        <v>0</v>
      </c>
      <c r="K65" s="10">
        <v>21</v>
      </c>
      <c r="L65" s="31">
        <v>32</v>
      </c>
      <c r="M65" s="10">
        <f>SUM(C65:K65)</f>
        <v>1647</v>
      </c>
      <c r="N65" s="10">
        <v>4753</v>
      </c>
      <c r="O65" s="341">
        <f t="shared" si="18"/>
        <v>-0.22316865417376491</v>
      </c>
      <c r="P65" s="287">
        <f t="shared" si="18"/>
        <v>-0.20357833655705995</v>
      </c>
      <c r="R65" s="143">
        <f t="shared" si="19"/>
        <v>-786</v>
      </c>
      <c r="S65" s="143">
        <f t="shared" si="20"/>
        <v>-421</v>
      </c>
      <c r="U65" s="12">
        <v>3522</v>
      </c>
      <c r="V65" s="12">
        <v>2068</v>
      </c>
    </row>
    <row r="66" spans="1:22" ht="12.75" customHeight="1" thickBot="1" x14ac:dyDescent="0.35">
      <c r="A66" s="4" t="s">
        <v>22</v>
      </c>
      <c r="B66" s="11">
        <v>2366</v>
      </c>
      <c r="C66" s="11">
        <v>1144</v>
      </c>
      <c r="D66" s="11">
        <v>181</v>
      </c>
      <c r="E66" s="11">
        <v>0</v>
      </c>
      <c r="F66" s="11">
        <v>19</v>
      </c>
      <c r="G66" s="15">
        <v>0</v>
      </c>
      <c r="H66" s="15">
        <v>12</v>
      </c>
      <c r="I66" s="15">
        <v>0</v>
      </c>
      <c r="J66" s="15">
        <v>0</v>
      </c>
      <c r="K66" s="11">
        <v>13</v>
      </c>
      <c r="L66" s="30">
        <v>0</v>
      </c>
      <c r="M66" s="10">
        <f>SUM(C66:L66)</f>
        <v>1369</v>
      </c>
      <c r="N66" s="81">
        <v>3494</v>
      </c>
      <c r="O66" s="342">
        <f t="shared" si="18"/>
        <v>-0.15980113636363635</v>
      </c>
      <c r="P66" s="289">
        <f t="shared" si="18"/>
        <v>-8.6724482988659105E-2</v>
      </c>
      <c r="R66" s="185">
        <f t="shared" si="19"/>
        <v>-450</v>
      </c>
      <c r="S66" s="185">
        <f t="shared" si="20"/>
        <v>-130</v>
      </c>
      <c r="U66" s="20">
        <v>2816</v>
      </c>
      <c r="V66" s="20">
        <v>1499</v>
      </c>
    </row>
    <row r="67" spans="1:22" ht="12.75" customHeight="1" x14ac:dyDescent="0.3">
      <c r="A67" s="3" t="s">
        <v>131</v>
      </c>
      <c r="B67" s="8">
        <f>SUM(B55:B66)</f>
        <v>59300</v>
      </c>
      <c r="C67" s="8">
        <f t="shared" ref="C67:N67" si="21">SUM(C55:C66)</f>
        <v>21989</v>
      </c>
      <c r="D67" s="8">
        <f t="shared" si="21"/>
        <v>2254</v>
      </c>
      <c r="E67" s="8">
        <f t="shared" si="21"/>
        <v>255</v>
      </c>
      <c r="F67" s="8">
        <f t="shared" si="21"/>
        <v>487</v>
      </c>
      <c r="G67" s="13">
        <f t="shared" si="21"/>
        <v>82</v>
      </c>
      <c r="H67" s="13">
        <f t="shared" si="21"/>
        <v>687</v>
      </c>
      <c r="I67" s="8">
        <f t="shared" si="21"/>
        <v>2803</v>
      </c>
      <c r="J67" s="8">
        <f t="shared" si="21"/>
        <v>918</v>
      </c>
      <c r="K67" s="8">
        <f t="shared" si="21"/>
        <v>444</v>
      </c>
      <c r="L67" s="31">
        <f t="shared" si="21"/>
        <v>59</v>
      </c>
      <c r="M67" s="41">
        <f t="shared" si="21"/>
        <v>29919</v>
      </c>
      <c r="N67" s="8">
        <f t="shared" si="21"/>
        <v>45025</v>
      </c>
      <c r="O67" s="290">
        <f t="shared" si="18"/>
        <v>-1.0974348710764201E-2</v>
      </c>
      <c r="P67" s="187">
        <f>S67/V67</f>
        <v>1.9942728574350584E-2</v>
      </c>
      <c r="R67" s="143">
        <f>SUM(R55:R66)</f>
        <v>-658</v>
      </c>
      <c r="S67" s="143">
        <f>SUM(S55:S66)</f>
        <v>585</v>
      </c>
      <c r="U67" s="12">
        <f>SUM(U55:U66)</f>
        <v>59958</v>
      </c>
      <c r="V67" s="12">
        <f>SUM(V55:V66)</f>
        <v>29334</v>
      </c>
    </row>
    <row r="68" spans="1:22" ht="12.75" customHeight="1" x14ac:dyDescent="0.3">
      <c r="A68" s="5" t="s">
        <v>106</v>
      </c>
      <c r="B68" s="9">
        <v>59958</v>
      </c>
      <c r="C68" s="9">
        <v>21166</v>
      </c>
      <c r="D68" s="9">
        <v>2472</v>
      </c>
      <c r="E68" s="9">
        <v>169</v>
      </c>
      <c r="F68" s="9">
        <v>439</v>
      </c>
      <c r="G68" s="9">
        <v>85</v>
      </c>
      <c r="H68" s="9">
        <v>744</v>
      </c>
      <c r="I68" s="9">
        <v>3002</v>
      </c>
      <c r="J68" s="9">
        <v>734</v>
      </c>
      <c r="K68" s="9">
        <v>523</v>
      </c>
      <c r="L68" s="9">
        <v>25</v>
      </c>
      <c r="M68" s="9">
        <v>29334</v>
      </c>
      <c r="N68" s="9">
        <v>47831</v>
      </c>
      <c r="O68" s="21">
        <v>-4.2165089567339165E-2</v>
      </c>
      <c r="P68" s="156">
        <v>-3.1213798429656327E-3</v>
      </c>
    </row>
    <row r="69" spans="1:22" ht="12.75" customHeight="1" x14ac:dyDescent="0.3">
      <c r="A69" s="5" t="s">
        <v>23</v>
      </c>
      <c r="B69" s="9">
        <f t="shared" ref="B69:N69" si="22">B67-B68</f>
        <v>-658</v>
      </c>
      <c r="C69" s="9">
        <f t="shared" si="22"/>
        <v>823</v>
      </c>
      <c r="D69" s="9">
        <f t="shared" si="22"/>
        <v>-218</v>
      </c>
      <c r="E69" s="9">
        <f t="shared" si="22"/>
        <v>86</v>
      </c>
      <c r="F69" s="9">
        <f t="shared" si="22"/>
        <v>48</v>
      </c>
      <c r="G69" s="9">
        <f t="shared" si="22"/>
        <v>-3</v>
      </c>
      <c r="H69" s="9">
        <f t="shared" si="22"/>
        <v>-57</v>
      </c>
      <c r="I69" s="9">
        <f t="shared" si="22"/>
        <v>-199</v>
      </c>
      <c r="J69" s="9">
        <f t="shared" si="22"/>
        <v>184</v>
      </c>
      <c r="K69" s="9">
        <f t="shared" si="22"/>
        <v>-79</v>
      </c>
      <c r="L69" s="30">
        <f t="shared" si="22"/>
        <v>34</v>
      </c>
      <c r="M69" s="9">
        <f t="shared" si="22"/>
        <v>585</v>
      </c>
      <c r="N69" s="9">
        <f t="shared" si="22"/>
        <v>-2806</v>
      </c>
      <c r="O69" s="48"/>
      <c r="P69" s="158"/>
    </row>
    <row r="71" spans="1:22" ht="12.75" customHeight="1" x14ac:dyDescent="0.25">
      <c r="B71" s="332"/>
      <c r="C71" s="333"/>
      <c r="D71" s="333"/>
      <c r="E71" s="333"/>
      <c r="F71" s="333"/>
      <c r="G71" s="333"/>
      <c r="H71" s="333"/>
      <c r="I71" s="333"/>
      <c r="J71" s="333"/>
      <c r="K71" s="334"/>
    </row>
    <row r="72" spans="1:22" ht="12.75" customHeight="1" x14ac:dyDescent="0.25">
      <c r="B72" s="25"/>
      <c r="C72" s="3" t="s">
        <v>138</v>
      </c>
      <c r="F72" s="335" t="s">
        <v>141</v>
      </c>
      <c r="K72" s="337"/>
    </row>
    <row r="73" spans="1:22" ht="12.75" customHeight="1" x14ac:dyDescent="0.25">
      <c r="B73" s="86"/>
      <c r="C73" s="4"/>
      <c r="D73" s="4"/>
      <c r="E73" s="4"/>
      <c r="F73" s="4"/>
      <c r="G73" s="4"/>
      <c r="H73" s="4"/>
      <c r="I73" s="4"/>
      <c r="J73" s="4"/>
      <c r="K73" s="97"/>
    </row>
    <row r="76" spans="1:22" ht="12.75" customHeight="1" x14ac:dyDescent="0.3">
      <c r="A76" s="35" t="s">
        <v>0</v>
      </c>
      <c r="B76" s="82" t="s">
        <v>1</v>
      </c>
      <c r="C76" s="82" t="s">
        <v>2</v>
      </c>
      <c r="D76" s="82" t="s">
        <v>3</v>
      </c>
      <c r="E76" s="82" t="s">
        <v>4</v>
      </c>
      <c r="F76" s="82" t="s">
        <v>55</v>
      </c>
      <c r="G76" s="82" t="s">
        <v>45</v>
      </c>
      <c r="H76" s="82" t="s">
        <v>46</v>
      </c>
      <c r="I76" s="82" t="s">
        <v>48</v>
      </c>
      <c r="J76" s="82" t="s">
        <v>47</v>
      </c>
      <c r="K76" s="82" t="s">
        <v>6</v>
      </c>
      <c r="L76" s="339" t="s">
        <v>44</v>
      </c>
      <c r="M76" s="35" t="s">
        <v>8</v>
      </c>
      <c r="N76" s="82" t="s">
        <v>10</v>
      </c>
      <c r="O76" s="82" t="s">
        <v>1</v>
      </c>
      <c r="P76" s="82" t="s">
        <v>9</v>
      </c>
      <c r="R76" s="163" t="s">
        <v>129</v>
      </c>
      <c r="S76" s="163" t="s">
        <v>130</v>
      </c>
      <c r="U76" s="163" t="s">
        <v>129</v>
      </c>
      <c r="V76" s="163" t="s">
        <v>130</v>
      </c>
    </row>
    <row r="77" spans="1:22" ht="12.75" customHeight="1" x14ac:dyDescent="0.3">
      <c r="A77" t="s">
        <v>11</v>
      </c>
      <c r="B77" s="10">
        <v>2076</v>
      </c>
      <c r="C77" s="10">
        <v>1027</v>
      </c>
      <c r="D77" s="10">
        <v>171</v>
      </c>
      <c r="E77" s="10">
        <v>0</v>
      </c>
      <c r="F77" s="10">
        <v>25</v>
      </c>
      <c r="G77" s="14">
        <v>0</v>
      </c>
      <c r="H77" s="14">
        <v>2</v>
      </c>
      <c r="I77" s="14">
        <v>2</v>
      </c>
      <c r="J77" s="14">
        <v>0</v>
      </c>
      <c r="K77" s="10">
        <v>11</v>
      </c>
      <c r="L77" s="31">
        <v>0</v>
      </c>
      <c r="M77" s="10">
        <f t="shared" ref="M77:M82" si="23">SUM(C77:K77)</f>
        <v>1238</v>
      </c>
      <c r="N77" s="10">
        <v>3199</v>
      </c>
      <c r="O77" s="340">
        <f>R77/B77</f>
        <v>-0.13102119460500963</v>
      </c>
      <c r="P77" s="286">
        <f t="shared" ref="P77:P88" si="24">S77/V77</f>
        <v>-0.10354815351194786</v>
      </c>
      <c r="R77" s="143">
        <f t="shared" ref="R77:R88" si="25">B77-U77</f>
        <v>-272</v>
      </c>
      <c r="S77" s="143">
        <f t="shared" ref="S77:S88" si="26">M77-V77</f>
        <v>-143</v>
      </c>
      <c r="U77" s="12">
        <v>2348</v>
      </c>
      <c r="V77" s="12">
        <v>1381</v>
      </c>
    </row>
    <row r="78" spans="1:22" ht="12.75" customHeight="1" x14ac:dyDescent="0.3">
      <c r="A78" t="s">
        <v>12</v>
      </c>
      <c r="B78" s="10">
        <v>2054</v>
      </c>
      <c r="C78" s="10">
        <v>1041</v>
      </c>
      <c r="D78" s="10">
        <v>129</v>
      </c>
      <c r="E78" s="10">
        <v>0</v>
      </c>
      <c r="F78" s="10">
        <v>13</v>
      </c>
      <c r="G78" s="14">
        <v>0</v>
      </c>
      <c r="H78" s="14">
        <v>6</v>
      </c>
      <c r="I78" s="14">
        <v>0</v>
      </c>
      <c r="J78" s="14">
        <v>0</v>
      </c>
      <c r="K78" s="10">
        <v>11</v>
      </c>
      <c r="L78" s="31">
        <v>0</v>
      </c>
      <c r="M78" s="10">
        <f t="shared" si="23"/>
        <v>1200</v>
      </c>
      <c r="N78" s="10">
        <v>2407</v>
      </c>
      <c r="O78" s="341">
        <f t="shared" ref="O78:O89" si="27">R78/U78</f>
        <v>3.2679738562091505E-2</v>
      </c>
      <c r="P78" s="287">
        <f t="shared" si="24"/>
        <v>5.5408970976253295E-2</v>
      </c>
      <c r="R78" s="143">
        <f t="shared" si="25"/>
        <v>65</v>
      </c>
      <c r="S78" s="143">
        <f t="shared" si="26"/>
        <v>63</v>
      </c>
      <c r="U78" s="12">
        <v>1989</v>
      </c>
      <c r="V78" s="12">
        <v>1137</v>
      </c>
    </row>
    <row r="79" spans="1:22" ht="12.75" customHeight="1" x14ac:dyDescent="0.3">
      <c r="A79" t="s">
        <v>13</v>
      </c>
      <c r="B79" s="10">
        <v>2080</v>
      </c>
      <c r="C79" s="10">
        <v>956</v>
      </c>
      <c r="D79" s="10">
        <v>128</v>
      </c>
      <c r="E79" s="10">
        <v>0</v>
      </c>
      <c r="F79" s="10">
        <v>12</v>
      </c>
      <c r="G79" s="14">
        <v>0</v>
      </c>
      <c r="H79" s="14">
        <v>6</v>
      </c>
      <c r="I79" s="14">
        <v>0</v>
      </c>
      <c r="J79" s="14">
        <v>0</v>
      </c>
      <c r="K79" s="10">
        <v>24</v>
      </c>
      <c r="L79" s="31">
        <v>0</v>
      </c>
      <c r="M79" s="10">
        <v>1126</v>
      </c>
      <c r="N79" s="10">
        <v>2203</v>
      </c>
      <c r="O79" s="341">
        <f t="shared" si="27"/>
        <v>-0.2341678939617084</v>
      </c>
      <c r="P79" s="287">
        <f t="shared" si="24"/>
        <v>-0.1714495952906549</v>
      </c>
      <c r="R79" s="143">
        <f t="shared" si="25"/>
        <v>-636</v>
      </c>
      <c r="S79" s="143">
        <f t="shared" si="26"/>
        <v>-233</v>
      </c>
      <c r="U79" s="12">
        <v>2716</v>
      </c>
      <c r="V79" s="12">
        <v>1359</v>
      </c>
    </row>
    <row r="80" spans="1:22" ht="12.75" customHeight="1" x14ac:dyDescent="0.3">
      <c r="A80" s="22" t="s">
        <v>14</v>
      </c>
      <c r="B80" s="16">
        <v>2024</v>
      </c>
      <c r="C80" s="16">
        <v>1077</v>
      </c>
      <c r="D80" s="16">
        <v>167</v>
      </c>
      <c r="E80" s="16">
        <v>0</v>
      </c>
      <c r="F80" s="16">
        <v>47</v>
      </c>
      <c r="G80" s="329">
        <v>0</v>
      </c>
      <c r="H80" s="329">
        <v>15</v>
      </c>
      <c r="I80" s="329">
        <v>3</v>
      </c>
      <c r="J80" s="329">
        <v>2</v>
      </c>
      <c r="K80" s="16">
        <v>15</v>
      </c>
      <c r="L80" s="31">
        <v>0</v>
      </c>
      <c r="M80" s="10">
        <f t="shared" si="23"/>
        <v>1326</v>
      </c>
      <c r="N80" s="10">
        <v>3065</v>
      </c>
      <c r="O80" s="341">
        <f t="shared" si="27"/>
        <v>-0.20126282557221783</v>
      </c>
      <c r="P80" s="287">
        <f t="shared" si="24"/>
        <v>-1.5590200445434299E-2</v>
      </c>
      <c r="R80" s="143">
        <f t="shared" si="25"/>
        <v>-510</v>
      </c>
      <c r="S80" s="143">
        <f t="shared" si="26"/>
        <v>-21</v>
      </c>
      <c r="U80" s="12">
        <v>2534</v>
      </c>
      <c r="V80" s="12">
        <v>1347</v>
      </c>
    </row>
    <row r="81" spans="1:22" ht="12.75" customHeight="1" x14ac:dyDescent="0.3">
      <c r="A81" t="s">
        <v>15</v>
      </c>
      <c r="B81" s="10">
        <v>3751</v>
      </c>
      <c r="C81" s="10">
        <v>1816</v>
      </c>
      <c r="D81" s="10">
        <v>192</v>
      </c>
      <c r="E81" s="10">
        <v>0</v>
      </c>
      <c r="F81" s="10">
        <v>58</v>
      </c>
      <c r="G81" s="14">
        <v>3</v>
      </c>
      <c r="H81" s="14">
        <v>37</v>
      </c>
      <c r="I81" s="14">
        <v>21</v>
      </c>
      <c r="J81" s="14">
        <v>7</v>
      </c>
      <c r="K81" s="10">
        <v>71</v>
      </c>
      <c r="L81" s="31">
        <v>0</v>
      </c>
      <c r="M81" s="10">
        <f t="shared" si="23"/>
        <v>2205</v>
      </c>
      <c r="N81" s="10">
        <v>3790</v>
      </c>
      <c r="O81" s="341">
        <f t="shared" si="27"/>
        <v>-0.33172991270265456</v>
      </c>
      <c r="P81" s="287">
        <f t="shared" si="24"/>
        <v>-0.2116553450125134</v>
      </c>
      <c r="R81" s="143">
        <f t="shared" si="25"/>
        <v>-1862</v>
      </c>
      <c r="S81" s="143">
        <f t="shared" si="26"/>
        <v>-592</v>
      </c>
      <c r="U81" s="12">
        <v>5613</v>
      </c>
      <c r="V81" s="12">
        <v>2797</v>
      </c>
    </row>
    <row r="82" spans="1:22" ht="12.75" customHeight="1" x14ac:dyDescent="0.3">
      <c r="A82" t="s">
        <v>16</v>
      </c>
      <c r="B82" s="10">
        <v>8229</v>
      </c>
      <c r="C82" s="10">
        <v>2941</v>
      </c>
      <c r="D82" s="10">
        <v>196</v>
      </c>
      <c r="E82" s="10">
        <v>7</v>
      </c>
      <c r="F82" s="10">
        <v>42</v>
      </c>
      <c r="G82" s="14">
        <v>16</v>
      </c>
      <c r="H82" s="14">
        <v>103</v>
      </c>
      <c r="I82" s="14">
        <v>510</v>
      </c>
      <c r="J82" s="14">
        <v>140</v>
      </c>
      <c r="K82" s="10">
        <v>110</v>
      </c>
      <c r="L82" s="31">
        <v>0</v>
      </c>
      <c r="M82" s="10">
        <f t="shared" si="23"/>
        <v>4065</v>
      </c>
      <c r="N82" s="10">
        <v>4849</v>
      </c>
      <c r="O82" s="341">
        <f t="shared" si="27"/>
        <v>-4.5802411873840446E-2</v>
      </c>
      <c r="P82" s="287">
        <f t="shared" si="24"/>
        <v>3.646098929117797E-2</v>
      </c>
      <c r="R82" s="143">
        <f t="shared" si="25"/>
        <v>-395</v>
      </c>
      <c r="S82" s="143">
        <f t="shared" si="26"/>
        <v>143</v>
      </c>
      <c r="U82" s="12">
        <v>8624</v>
      </c>
      <c r="V82" s="12">
        <v>3922</v>
      </c>
    </row>
    <row r="83" spans="1:22" ht="12.75" customHeight="1" x14ac:dyDescent="0.3">
      <c r="A83" t="s">
        <v>17</v>
      </c>
      <c r="B83" s="10">
        <v>12993</v>
      </c>
      <c r="C83" s="10">
        <v>480</v>
      </c>
      <c r="D83" s="10">
        <v>189</v>
      </c>
      <c r="E83" s="10">
        <v>11</v>
      </c>
      <c r="F83" s="10">
        <v>47</v>
      </c>
      <c r="G83" s="14">
        <v>40</v>
      </c>
      <c r="H83" s="14">
        <v>291</v>
      </c>
      <c r="I83" s="14">
        <v>1429</v>
      </c>
      <c r="J83" s="14">
        <v>276</v>
      </c>
      <c r="K83" s="10">
        <v>122</v>
      </c>
      <c r="L83" s="31">
        <v>0</v>
      </c>
      <c r="M83" s="10">
        <f>SUM(C83:K83)</f>
        <v>2885</v>
      </c>
      <c r="N83" s="10">
        <v>5398</v>
      </c>
      <c r="O83" s="341">
        <f t="shared" si="27"/>
        <v>4.235860409145608E-2</v>
      </c>
      <c r="P83" s="287">
        <f t="shared" si="24"/>
        <v>-0.54336815447926556</v>
      </c>
      <c r="R83" s="143">
        <f t="shared" si="25"/>
        <v>528</v>
      </c>
      <c r="S83" s="143">
        <f t="shared" si="26"/>
        <v>-3433</v>
      </c>
      <c r="U83" s="12">
        <v>12465</v>
      </c>
      <c r="V83" s="12">
        <v>6318</v>
      </c>
    </row>
    <row r="84" spans="1:22" ht="12.75" customHeight="1" x14ac:dyDescent="0.3">
      <c r="A84" t="s">
        <v>18</v>
      </c>
      <c r="B84" s="10"/>
      <c r="C84" s="10"/>
      <c r="D84" s="10"/>
      <c r="E84" s="10"/>
      <c r="F84" s="10"/>
      <c r="G84" s="14"/>
      <c r="H84" s="14"/>
      <c r="I84" s="14"/>
      <c r="J84" s="14"/>
      <c r="K84" s="10"/>
      <c r="L84" s="31"/>
      <c r="M84" s="10">
        <f t="shared" ref="M84" si="28">SUM(C84:K84)</f>
        <v>0</v>
      </c>
      <c r="N84" s="10"/>
      <c r="O84" s="341">
        <f t="shared" si="27"/>
        <v>-1</v>
      </c>
      <c r="P84" s="287">
        <f t="shared" si="24"/>
        <v>-1</v>
      </c>
      <c r="R84" s="143">
        <f t="shared" si="25"/>
        <v>-9431</v>
      </c>
      <c r="S84" s="143">
        <f t="shared" si="26"/>
        <v>-4223</v>
      </c>
      <c r="U84" s="12">
        <v>9431</v>
      </c>
      <c r="V84" s="12">
        <v>4223</v>
      </c>
    </row>
    <row r="85" spans="1:22" ht="12.75" customHeight="1" x14ac:dyDescent="0.3">
      <c r="A85" t="s">
        <v>19</v>
      </c>
      <c r="B85" s="10"/>
      <c r="C85" s="10"/>
      <c r="D85" s="102"/>
      <c r="E85" s="10"/>
      <c r="F85" s="10"/>
      <c r="G85" s="14"/>
      <c r="H85" s="14"/>
      <c r="I85" s="14"/>
      <c r="J85" s="14"/>
      <c r="K85" s="10"/>
      <c r="L85" s="31"/>
      <c r="M85" s="10">
        <f>SUM(C85:K85)</f>
        <v>0</v>
      </c>
      <c r="N85" s="10"/>
      <c r="O85" s="341">
        <f t="shared" si="27"/>
        <v>-1</v>
      </c>
      <c r="P85" s="287">
        <f t="shared" si="24"/>
        <v>-1</v>
      </c>
      <c r="R85" s="143">
        <f t="shared" si="25"/>
        <v>-4752</v>
      </c>
      <c r="S85" s="143">
        <f t="shared" si="26"/>
        <v>-2326</v>
      </c>
      <c r="U85" s="12">
        <v>4752</v>
      </c>
      <c r="V85" s="12">
        <v>2326</v>
      </c>
    </row>
    <row r="86" spans="1:22" ht="12.75" customHeight="1" x14ac:dyDescent="0.3">
      <c r="A86" t="s">
        <v>20</v>
      </c>
      <c r="B86" s="10"/>
      <c r="C86" s="10"/>
      <c r="D86" s="10"/>
      <c r="E86" s="10"/>
      <c r="F86" s="10"/>
      <c r="G86" s="14"/>
      <c r="H86" s="14"/>
      <c r="I86" s="14"/>
      <c r="J86" s="14"/>
      <c r="K86" s="10"/>
      <c r="L86" s="31"/>
      <c r="M86" s="10">
        <f>SUM(C86:K86)</f>
        <v>0</v>
      </c>
      <c r="N86" s="10"/>
      <c r="O86" s="341">
        <f t="shared" si="27"/>
        <v>-1</v>
      </c>
      <c r="P86" s="287">
        <f t="shared" si="24"/>
        <v>-1</v>
      </c>
      <c r="R86" s="143">
        <f t="shared" si="25"/>
        <v>-3726</v>
      </c>
      <c r="S86" s="143">
        <f t="shared" si="26"/>
        <v>-2093</v>
      </c>
      <c r="U86" s="12">
        <v>3726</v>
      </c>
      <c r="V86" s="12">
        <v>2093</v>
      </c>
    </row>
    <row r="87" spans="1:22" ht="12.75" customHeight="1" x14ac:dyDescent="0.3">
      <c r="A87" t="s">
        <v>21</v>
      </c>
      <c r="B87" s="10"/>
      <c r="C87" s="10"/>
      <c r="D87" s="10"/>
      <c r="E87" s="10"/>
      <c r="F87" s="10"/>
      <c r="G87" s="10"/>
      <c r="H87" s="10"/>
      <c r="I87" s="10"/>
      <c r="J87" s="10"/>
      <c r="K87" s="10"/>
      <c r="L87" s="31"/>
      <c r="M87" s="10">
        <f>SUM(C87:K87)</f>
        <v>0</v>
      </c>
      <c r="N87" s="10"/>
      <c r="O87" s="341">
        <f t="shared" si="27"/>
        <v>-1</v>
      </c>
      <c r="P87" s="287">
        <f t="shared" si="24"/>
        <v>-1</v>
      </c>
      <c r="R87" s="143">
        <f t="shared" si="25"/>
        <v>-2736</v>
      </c>
      <c r="S87" s="143">
        <f t="shared" si="26"/>
        <v>-1647</v>
      </c>
      <c r="U87" s="12">
        <v>2736</v>
      </c>
      <c r="V87" s="12">
        <v>1647</v>
      </c>
    </row>
    <row r="88" spans="1:22" ht="12.75" customHeight="1" thickBot="1" x14ac:dyDescent="0.35">
      <c r="A88" s="4" t="s">
        <v>22</v>
      </c>
      <c r="B88" s="11"/>
      <c r="C88" s="11"/>
      <c r="D88" s="11"/>
      <c r="E88" s="11"/>
      <c r="F88" s="11"/>
      <c r="G88" s="15"/>
      <c r="H88" s="15"/>
      <c r="I88" s="15"/>
      <c r="J88" s="15"/>
      <c r="K88" s="11"/>
      <c r="L88" s="30"/>
      <c r="M88" s="10">
        <f>SUM(C88:L88)</f>
        <v>0</v>
      </c>
      <c r="N88" s="81"/>
      <c r="O88" s="342">
        <f t="shared" si="27"/>
        <v>-1</v>
      </c>
      <c r="P88" s="289">
        <f t="shared" si="24"/>
        <v>-1</v>
      </c>
      <c r="R88" s="185">
        <f t="shared" si="25"/>
        <v>-2366</v>
      </c>
      <c r="S88" s="185">
        <f t="shared" si="26"/>
        <v>-1369</v>
      </c>
      <c r="U88" s="20">
        <v>2366</v>
      </c>
      <c r="V88" s="20">
        <v>1369</v>
      </c>
    </row>
    <row r="89" spans="1:22" ht="12.75" customHeight="1" x14ac:dyDescent="0.3">
      <c r="A89" s="3" t="s">
        <v>131</v>
      </c>
      <c r="B89" s="8">
        <f>SUM(B77:B88)</f>
        <v>33207</v>
      </c>
      <c r="C89" s="8">
        <f t="shared" ref="C89:N89" si="29">SUM(C77:C88)</f>
        <v>9338</v>
      </c>
      <c r="D89" s="8">
        <f t="shared" si="29"/>
        <v>1172</v>
      </c>
      <c r="E89" s="8">
        <f t="shared" si="29"/>
        <v>18</v>
      </c>
      <c r="F89" s="8">
        <f t="shared" si="29"/>
        <v>244</v>
      </c>
      <c r="G89" s="13">
        <f t="shared" si="29"/>
        <v>59</v>
      </c>
      <c r="H89" s="13">
        <f t="shared" si="29"/>
        <v>460</v>
      </c>
      <c r="I89" s="8">
        <f t="shared" si="29"/>
        <v>1965</v>
      </c>
      <c r="J89" s="8">
        <f t="shared" si="29"/>
        <v>425</v>
      </c>
      <c r="K89" s="8">
        <f t="shared" si="29"/>
        <v>364</v>
      </c>
      <c r="L89" s="31">
        <f t="shared" si="29"/>
        <v>0</v>
      </c>
      <c r="M89" s="41">
        <f t="shared" si="29"/>
        <v>14045</v>
      </c>
      <c r="N89" s="8">
        <f t="shared" si="29"/>
        <v>24911</v>
      </c>
      <c r="O89" s="290">
        <f t="shared" si="27"/>
        <v>-0.44001686340640811</v>
      </c>
      <c r="P89" s="187">
        <f>S89/V89</f>
        <v>-0.53056586115846116</v>
      </c>
      <c r="R89" s="143">
        <f>SUM(R77:R88)</f>
        <v>-26093</v>
      </c>
      <c r="S89" s="143">
        <f>SUM(S77:S88)</f>
        <v>-15874</v>
      </c>
      <c r="U89" s="12">
        <f>SUM(U77:U88)</f>
        <v>59300</v>
      </c>
      <c r="V89" s="12">
        <f>SUM(V77:V88)</f>
        <v>29919</v>
      </c>
    </row>
    <row r="90" spans="1:22" ht="12.75" customHeight="1" x14ac:dyDescent="0.3">
      <c r="A90" s="5" t="s">
        <v>106</v>
      </c>
      <c r="B90" s="9">
        <v>59958</v>
      </c>
      <c r="C90" s="9">
        <v>21166</v>
      </c>
      <c r="D90" s="9">
        <v>2472</v>
      </c>
      <c r="E90" s="9">
        <v>169</v>
      </c>
      <c r="F90" s="9">
        <v>439</v>
      </c>
      <c r="G90" s="9">
        <v>85</v>
      </c>
      <c r="H90" s="9">
        <v>744</v>
      </c>
      <c r="I90" s="9">
        <v>3002</v>
      </c>
      <c r="J90" s="9">
        <v>734</v>
      </c>
      <c r="K90" s="9">
        <v>523</v>
      </c>
      <c r="L90" s="9">
        <v>25</v>
      </c>
      <c r="M90" s="9">
        <v>29334</v>
      </c>
      <c r="N90" s="9">
        <v>47831</v>
      </c>
      <c r="O90" s="21">
        <v>-4.2165089567339165E-2</v>
      </c>
      <c r="P90" s="156">
        <v>-3.1213798429656327E-3</v>
      </c>
    </row>
    <row r="91" spans="1:22" ht="12.75" customHeight="1" x14ac:dyDescent="0.3">
      <c r="A91" s="5" t="s">
        <v>23</v>
      </c>
      <c r="B91" s="9">
        <f t="shared" ref="B91:N91" si="30">B89-B90</f>
        <v>-26751</v>
      </c>
      <c r="C91" s="9">
        <f t="shared" si="30"/>
        <v>-11828</v>
      </c>
      <c r="D91" s="9">
        <f t="shared" si="30"/>
        <v>-1300</v>
      </c>
      <c r="E91" s="9">
        <f t="shared" si="30"/>
        <v>-151</v>
      </c>
      <c r="F91" s="9">
        <f t="shared" si="30"/>
        <v>-195</v>
      </c>
      <c r="G91" s="9">
        <f t="shared" si="30"/>
        <v>-26</v>
      </c>
      <c r="H91" s="9">
        <f t="shared" si="30"/>
        <v>-284</v>
      </c>
      <c r="I91" s="9">
        <f t="shared" si="30"/>
        <v>-1037</v>
      </c>
      <c r="J91" s="9">
        <f t="shared" si="30"/>
        <v>-309</v>
      </c>
      <c r="K91" s="9">
        <f t="shared" si="30"/>
        <v>-159</v>
      </c>
      <c r="L91" s="30">
        <f t="shared" si="30"/>
        <v>-25</v>
      </c>
      <c r="M91" s="9">
        <f t="shared" si="30"/>
        <v>-15289</v>
      </c>
      <c r="N91" s="9">
        <f t="shared" si="30"/>
        <v>-22920</v>
      </c>
      <c r="O91" s="48"/>
      <c r="P91" s="158"/>
    </row>
  </sheetData>
  <phoneticPr fontId="4" type="noConversion"/>
  <printOptions gridLines="1"/>
  <pageMargins left="0.39370078740157483" right="0.39370078740157483" top="0.78740157480314965" bottom="0.78740157480314965" header="0.51181102362204722" footer="0.51181102362204722"/>
  <pageSetup paperSize="9" scale="1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92514B-EB6A-4FB9-875A-B0056C1E0407}">
  <dimension ref="A2:R89"/>
  <sheetViews>
    <sheetView topLeftCell="A51" workbookViewId="0">
      <selection activeCell="F93" sqref="F93"/>
    </sheetView>
  </sheetViews>
  <sheetFormatPr defaultRowHeight="12.5" x14ac:dyDescent="0.25"/>
  <sheetData>
    <row r="2" spans="1:18" ht="12.75" customHeight="1" x14ac:dyDescent="0.25"/>
    <row r="3" spans="1:18" ht="12.75" customHeight="1" x14ac:dyDescent="0.25"/>
    <row r="4" spans="1:18" ht="12.75" customHeight="1" x14ac:dyDescent="0.25"/>
    <row r="5" spans="1:18" ht="12.75" customHeight="1" x14ac:dyDescent="0.25"/>
    <row r="6" spans="1:18" ht="12.75" customHeight="1" x14ac:dyDescent="0.25"/>
    <row r="7" spans="1:18" ht="13" x14ac:dyDescent="0.3">
      <c r="A7" s="1" t="s">
        <v>0</v>
      </c>
      <c r="B7" s="2" t="s">
        <v>1</v>
      </c>
      <c r="C7" s="2" t="s">
        <v>2</v>
      </c>
      <c r="D7" s="2" t="s">
        <v>3</v>
      </c>
      <c r="E7" s="2" t="s">
        <v>4</v>
      </c>
      <c r="F7" s="2" t="s">
        <v>5</v>
      </c>
      <c r="G7" s="2" t="s">
        <v>6</v>
      </c>
      <c r="H7" s="32" t="s">
        <v>7</v>
      </c>
      <c r="I7" s="1" t="s">
        <v>8</v>
      </c>
      <c r="J7" s="2" t="s">
        <v>10</v>
      </c>
      <c r="K7" s="2" t="s">
        <v>1</v>
      </c>
      <c r="L7" s="2" t="s">
        <v>9</v>
      </c>
      <c r="M7" s="25"/>
      <c r="N7" s="163" t="s">
        <v>94</v>
      </c>
      <c r="O7" s="163" t="s">
        <v>95</v>
      </c>
      <c r="Q7" s="163" t="s">
        <v>87</v>
      </c>
      <c r="R7" s="163" t="s">
        <v>88</v>
      </c>
    </row>
    <row r="8" spans="1:18" ht="13" x14ac:dyDescent="0.3">
      <c r="A8" t="s">
        <v>11</v>
      </c>
      <c r="B8" s="10">
        <v>3277</v>
      </c>
      <c r="C8" s="10">
        <v>2201</v>
      </c>
      <c r="D8" s="10">
        <v>94</v>
      </c>
      <c r="E8" s="10">
        <v>1</v>
      </c>
      <c r="F8" s="10">
        <v>34</v>
      </c>
      <c r="G8" s="10">
        <v>11</v>
      </c>
      <c r="H8" s="31">
        <v>0</v>
      </c>
      <c r="I8" s="10">
        <f>SUM(C8:G8)</f>
        <v>2341</v>
      </c>
      <c r="J8" s="10">
        <f>(D8*10)+(F8*8)</f>
        <v>1212</v>
      </c>
      <c r="K8" s="285">
        <f>N8/Q8</f>
        <v>0.15022815022815023</v>
      </c>
      <c r="L8" s="286">
        <v>0.1137012369172217</v>
      </c>
      <c r="M8" s="22"/>
      <c r="N8" s="143">
        <v>428</v>
      </c>
      <c r="O8" s="143">
        <v>239</v>
      </c>
      <c r="Q8" s="12">
        <v>2849</v>
      </c>
      <c r="R8" s="12">
        <v>2102</v>
      </c>
    </row>
    <row r="9" spans="1:18" ht="13" x14ac:dyDescent="0.3">
      <c r="A9" t="s">
        <v>12</v>
      </c>
      <c r="B9" s="10">
        <v>2703</v>
      </c>
      <c r="C9" s="10">
        <v>1889</v>
      </c>
      <c r="D9" s="10">
        <v>103</v>
      </c>
      <c r="E9" s="10">
        <v>0</v>
      </c>
      <c r="F9" s="10">
        <v>47</v>
      </c>
      <c r="G9" s="10">
        <v>12</v>
      </c>
      <c r="H9" s="31">
        <v>0</v>
      </c>
      <c r="I9" s="10">
        <f t="shared" ref="I9:I19" si="0">SUM(C9:G9)</f>
        <v>2051</v>
      </c>
      <c r="J9" s="10">
        <f>(D9*10)+(F9*8)</f>
        <v>1406</v>
      </c>
      <c r="K9" s="285">
        <f>N9/Q9</f>
        <v>-5.4564533053515218E-2</v>
      </c>
      <c r="L9" s="287">
        <v>-1.6306954436450839E-2</v>
      </c>
      <c r="M9" s="22"/>
      <c r="N9" s="143">
        <v>-156</v>
      </c>
      <c r="O9" s="143">
        <v>-34</v>
      </c>
      <c r="Q9" s="12">
        <v>2859</v>
      </c>
      <c r="R9" s="12">
        <v>2085</v>
      </c>
    </row>
    <row r="10" spans="1:18" ht="13" x14ac:dyDescent="0.3">
      <c r="A10" t="s">
        <v>13</v>
      </c>
      <c r="B10" s="10">
        <v>3264</v>
      </c>
      <c r="C10" s="10">
        <v>2299</v>
      </c>
      <c r="D10" s="10">
        <v>113</v>
      </c>
      <c r="E10" s="10">
        <v>0</v>
      </c>
      <c r="F10" s="10">
        <v>38</v>
      </c>
      <c r="G10" s="10">
        <v>12</v>
      </c>
      <c r="H10" s="31">
        <v>0</v>
      </c>
      <c r="I10" s="10">
        <f t="shared" si="0"/>
        <v>2462</v>
      </c>
      <c r="J10" s="10">
        <f t="shared" ref="J10:J12" si="1">(D10*10)+(F10*8)</f>
        <v>1434</v>
      </c>
      <c r="K10" s="285">
        <f>N10/Q10</f>
        <v>-0.1206896551724138</v>
      </c>
      <c r="L10" s="287">
        <v>-4.1277258566978191E-2</v>
      </c>
      <c r="M10" s="22"/>
      <c r="N10" s="143">
        <v>-448</v>
      </c>
      <c r="O10" s="143">
        <v>-106</v>
      </c>
      <c r="Q10" s="12">
        <v>3712</v>
      </c>
      <c r="R10" s="12">
        <v>2568</v>
      </c>
    </row>
    <row r="11" spans="1:18" ht="13" x14ac:dyDescent="0.3">
      <c r="A11" t="s">
        <v>14</v>
      </c>
      <c r="B11" s="10">
        <v>3788</v>
      </c>
      <c r="C11" s="10">
        <v>2464</v>
      </c>
      <c r="D11" s="10">
        <v>107</v>
      </c>
      <c r="E11" s="10">
        <v>0</v>
      </c>
      <c r="F11" s="10">
        <v>76</v>
      </c>
      <c r="G11" s="10">
        <v>31</v>
      </c>
      <c r="H11" s="31">
        <v>0</v>
      </c>
      <c r="I11" s="10">
        <f t="shared" si="0"/>
        <v>2678</v>
      </c>
      <c r="J11" s="10">
        <f t="shared" si="1"/>
        <v>1678</v>
      </c>
      <c r="K11" s="285">
        <f>N11/Q11</f>
        <v>-5.774278215223097E-3</v>
      </c>
      <c r="L11" s="287">
        <v>-2.0840950639853747E-2</v>
      </c>
      <c r="M11" s="22"/>
      <c r="N11" s="143">
        <v>-22</v>
      </c>
      <c r="O11" s="143">
        <v>-57</v>
      </c>
      <c r="Q11" s="12">
        <v>3810</v>
      </c>
      <c r="R11" s="12">
        <v>2735</v>
      </c>
    </row>
    <row r="12" spans="1:18" ht="13" x14ac:dyDescent="0.3">
      <c r="A12" t="s">
        <v>15</v>
      </c>
      <c r="B12" s="10">
        <v>4860</v>
      </c>
      <c r="C12" s="10">
        <v>3079</v>
      </c>
      <c r="D12" s="10">
        <v>118</v>
      </c>
      <c r="E12" s="10">
        <v>1</v>
      </c>
      <c r="F12" s="10">
        <v>122</v>
      </c>
      <c r="G12" s="10">
        <v>113</v>
      </c>
      <c r="H12" s="31">
        <v>0</v>
      </c>
      <c r="I12" s="10">
        <f t="shared" si="0"/>
        <v>3433</v>
      </c>
      <c r="J12" s="10">
        <f t="shared" si="1"/>
        <v>2156</v>
      </c>
      <c r="K12" s="285">
        <f t="shared" ref="K12:K19" si="2">N12/Q12</f>
        <v>-9.073900841908325E-2</v>
      </c>
      <c r="L12" s="287">
        <v>-9.1077574794810698E-2</v>
      </c>
      <c r="M12" s="22"/>
      <c r="N12" s="143">
        <v>-485</v>
      </c>
      <c r="O12" s="143">
        <v>-344</v>
      </c>
      <c r="Q12" s="12">
        <v>5345</v>
      </c>
      <c r="R12" s="12">
        <v>3777</v>
      </c>
    </row>
    <row r="13" spans="1:18" ht="13" x14ac:dyDescent="0.3">
      <c r="A13" t="s">
        <v>16</v>
      </c>
      <c r="B13" s="10">
        <v>5451</v>
      </c>
      <c r="C13" s="10">
        <v>3203</v>
      </c>
      <c r="D13" s="10">
        <v>137</v>
      </c>
      <c r="E13" s="10">
        <v>1</v>
      </c>
      <c r="F13" s="10">
        <v>72</v>
      </c>
      <c r="G13" s="10">
        <v>399</v>
      </c>
      <c r="H13" s="31">
        <v>0</v>
      </c>
      <c r="I13" s="10">
        <f t="shared" si="0"/>
        <v>3812</v>
      </c>
      <c r="J13" s="10">
        <f>(D13*10)+(F13*8)</f>
        <v>1946</v>
      </c>
      <c r="K13" s="285">
        <f t="shared" si="2"/>
        <v>-4.7194546407970633E-2</v>
      </c>
      <c r="L13" s="287">
        <v>-3.6643922163254988E-2</v>
      </c>
      <c r="M13" s="22"/>
      <c r="N13" s="143">
        <v>-270</v>
      </c>
      <c r="O13" s="143">
        <v>-145</v>
      </c>
      <c r="Q13" s="12">
        <v>5721</v>
      </c>
      <c r="R13" s="12">
        <v>3957</v>
      </c>
    </row>
    <row r="14" spans="1:18" ht="13" x14ac:dyDescent="0.3">
      <c r="A14" t="s">
        <v>17</v>
      </c>
      <c r="B14" s="10">
        <v>8825</v>
      </c>
      <c r="C14" s="10">
        <v>4402</v>
      </c>
      <c r="D14" s="10">
        <v>109</v>
      </c>
      <c r="E14" s="10">
        <v>0</v>
      </c>
      <c r="F14" s="10">
        <v>114</v>
      </c>
      <c r="G14" s="10">
        <v>1199</v>
      </c>
      <c r="H14" s="31">
        <v>0</v>
      </c>
      <c r="I14" s="10">
        <f t="shared" si="0"/>
        <v>5824</v>
      </c>
      <c r="J14" s="10">
        <f t="shared" ref="J14" si="3">(D14*10)+(F14*8)</f>
        <v>2002</v>
      </c>
      <c r="K14" s="285">
        <f t="shared" si="2"/>
        <v>-1.6055301594380643E-2</v>
      </c>
      <c r="L14" s="287">
        <v>-1.338302558021345E-2</v>
      </c>
      <c r="M14" s="22"/>
      <c r="N14" s="143">
        <v>-144</v>
      </c>
      <c r="O14" s="143">
        <v>-79</v>
      </c>
      <c r="Q14" s="12">
        <v>8969</v>
      </c>
      <c r="R14" s="12">
        <v>5903</v>
      </c>
    </row>
    <row r="15" spans="1:18" ht="13" x14ac:dyDescent="0.3">
      <c r="A15" t="s">
        <v>18</v>
      </c>
      <c r="B15" s="10">
        <v>6892</v>
      </c>
      <c r="C15" s="10">
        <v>3628</v>
      </c>
      <c r="D15" s="10">
        <v>275</v>
      </c>
      <c r="E15" s="10">
        <v>6</v>
      </c>
      <c r="F15" s="10">
        <v>100</v>
      </c>
      <c r="G15" s="10">
        <v>624</v>
      </c>
      <c r="H15" s="31">
        <v>0</v>
      </c>
      <c r="I15" s="10">
        <f t="shared" si="0"/>
        <v>4633</v>
      </c>
      <c r="J15" s="10">
        <f>(D15*10)+(F15*8)</f>
        <v>3550</v>
      </c>
      <c r="K15" s="285">
        <f t="shared" si="2"/>
        <v>0.13992722461131327</v>
      </c>
      <c r="L15" s="287">
        <v>5.5353075170842828E-2</v>
      </c>
      <c r="M15" s="22"/>
      <c r="N15" s="143">
        <v>846</v>
      </c>
      <c r="O15" s="143">
        <v>243</v>
      </c>
      <c r="Q15" s="12">
        <v>6046</v>
      </c>
      <c r="R15" s="12">
        <v>4390</v>
      </c>
    </row>
    <row r="16" spans="1:18" ht="13" x14ac:dyDescent="0.3">
      <c r="A16" t="s">
        <v>19</v>
      </c>
      <c r="B16" s="10">
        <v>4763</v>
      </c>
      <c r="C16" s="10">
        <v>2935</v>
      </c>
      <c r="D16" s="10">
        <v>324</v>
      </c>
      <c r="E16" s="10">
        <v>0</v>
      </c>
      <c r="F16" s="10">
        <v>118</v>
      </c>
      <c r="G16" s="10">
        <v>83</v>
      </c>
      <c r="H16" s="31">
        <v>0</v>
      </c>
      <c r="I16" s="10">
        <f t="shared" si="0"/>
        <v>3460</v>
      </c>
      <c r="J16" s="10">
        <f t="shared" ref="J16:J19" si="4">(D16*10)+(F16*8)</f>
        <v>4184</v>
      </c>
      <c r="K16" s="285">
        <f t="shared" si="2"/>
        <v>-1.5705724323207274E-2</v>
      </c>
      <c r="L16" s="287">
        <v>6.3990692262943568E-3</v>
      </c>
      <c r="M16" s="22"/>
      <c r="N16" s="143">
        <v>-76</v>
      </c>
      <c r="O16" s="143">
        <v>22</v>
      </c>
      <c r="Q16" s="12">
        <v>4839</v>
      </c>
      <c r="R16" s="12">
        <v>3438</v>
      </c>
    </row>
    <row r="17" spans="1:18" ht="13" x14ac:dyDescent="0.3">
      <c r="A17" t="s">
        <v>20</v>
      </c>
      <c r="B17" s="10">
        <v>3781</v>
      </c>
      <c r="C17" s="10">
        <v>2551</v>
      </c>
      <c r="D17" s="10">
        <v>116</v>
      </c>
      <c r="E17" s="10">
        <v>0</v>
      </c>
      <c r="F17" s="10">
        <v>111</v>
      </c>
      <c r="G17" s="10">
        <v>37</v>
      </c>
      <c r="H17" s="31">
        <v>0</v>
      </c>
      <c r="I17" s="10">
        <f t="shared" si="0"/>
        <v>2815</v>
      </c>
      <c r="J17" s="10">
        <f t="shared" si="4"/>
        <v>2048</v>
      </c>
      <c r="K17" s="285">
        <f t="shared" si="2"/>
        <v>-4.0355329949238579E-2</v>
      </c>
      <c r="L17" s="287">
        <v>-7.1569920844327173E-2</v>
      </c>
      <c r="M17" s="22"/>
      <c r="N17" s="143">
        <v>-159</v>
      </c>
      <c r="O17" s="143">
        <v>-217</v>
      </c>
      <c r="Q17" s="12">
        <v>3940</v>
      </c>
      <c r="R17" s="12">
        <v>3032</v>
      </c>
    </row>
    <row r="18" spans="1:18" ht="13" x14ac:dyDescent="0.3">
      <c r="A18" t="s">
        <v>21</v>
      </c>
      <c r="B18" s="10">
        <v>3566</v>
      </c>
      <c r="C18" s="10">
        <v>2393</v>
      </c>
      <c r="D18" s="10">
        <v>135</v>
      </c>
      <c r="E18" s="10">
        <v>0</v>
      </c>
      <c r="F18" s="10">
        <v>80</v>
      </c>
      <c r="G18" s="10">
        <v>19</v>
      </c>
      <c r="H18" s="31">
        <v>0</v>
      </c>
      <c r="I18" s="10">
        <f t="shared" si="0"/>
        <v>2627</v>
      </c>
      <c r="J18" s="10">
        <v>1526</v>
      </c>
      <c r="K18" s="285">
        <f t="shared" si="2"/>
        <v>3.1828703703703706E-2</v>
      </c>
      <c r="L18" s="287">
        <v>-8.9743589743589744E-2</v>
      </c>
      <c r="M18" s="22"/>
      <c r="N18" s="143">
        <v>110</v>
      </c>
      <c r="O18" s="143">
        <v>-259</v>
      </c>
      <c r="Q18" s="12">
        <v>3456</v>
      </c>
      <c r="R18" s="12">
        <v>2886</v>
      </c>
    </row>
    <row r="19" spans="1:18" ht="13" x14ac:dyDescent="0.3">
      <c r="A19" s="4" t="s">
        <v>22</v>
      </c>
      <c r="B19" s="11">
        <v>3276</v>
      </c>
      <c r="C19" s="11">
        <v>2130</v>
      </c>
      <c r="D19" s="11">
        <v>101</v>
      </c>
      <c r="E19" s="11">
        <v>0</v>
      </c>
      <c r="F19" s="11">
        <v>67</v>
      </c>
      <c r="G19" s="11">
        <v>9</v>
      </c>
      <c r="H19" s="30">
        <v>0</v>
      </c>
      <c r="I19" s="10">
        <f t="shared" si="0"/>
        <v>2307</v>
      </c>
      <c r="J19" s="11">
        <f t="shared" si="4"/>
        <v>1546</v>
      </c>
      <c r="K19" s="288">
        <f t="shared" si="2"/>
        <v>2.9864822382898459E-2</v>
      </c>
      <c r="L19" s="289">
        <v>5.6669572798605057E-3</v>
      </c>
      <c r="M19" s="22"/>
      <c r="N19" s="169">
        <v>95</v>
      </c>
      <c r="O19" s="169">
        <v>13</v>
      </c>
      <c r="Q19" s="20">
        <v>3181</v>
      </c>
      <c r="R19" s="12">
        <v>2294</v>
      </c>
    </row>
    <row r="20" spans="1:18" ht="13" x14ac:dyDescent="0.3">
      <c r="A20" s="3" t="s">
        <v>93</v>
      </c>
      <c r="B20" s="8">
        <f t="shared" ref="B20:J20" si="5">SUM(B8:B19)</f>
        <v>54446</v>
      </c>
      <c r="C20" s="8">
        <f t="shared" si="5"/>
        <v>33174</v>
      </c>
      <c r="D20" s="8">
        <f t="shared" si="5"/>
        <v>1732</v>
      </c>
      <c r="E20" s="8">
        <f t="shared" si="5"/>
        <v>9</v>
      </c>
      <c r="F20" s="8">
        <f t="shared" si="5"/>
        <v>979</v>
      </c>
      <c r="G20" s="8">
        <f t="shared" si="5"/>
        <v>2549</v>
      </c>
      <c r="H20" s="31">
        <f t="shared" si="5"/>
        <v>0</v>
      </c>
      <c r="I20" s="8">
        <f t="shared" si="5"/>
        <v>38443</v>
      </c>
      <c r="J20" s="8">
        <f t="shared" si="5"/>
        <v>24688</v>
      </c>
      <c r="K20" s="290">
        <f>N20/Q20</f>
        <v>-5.134577082610046E-3</v>
      </c>
      <c r="L20" s="187">
        <v>-1.8484949064263283E-2</v>
      </c>
      <c r="M20" s="22"/>
      <c r="N20" s="143">
        <v>-281</v>
      </c>
      <c r="O20" s="143">
        <v>-724</v>
      </c>
      <c r="Q20" s="12">
        <v>54727</v>
      </c>
      <c r="R20" s="12">
        <v>39167</v>
      </c>
    </row>
    <row r="21" spans="1:18" ht="13" x14ac:dyDescent="0.3">
      <c r="A21" s="5" t="s">
        <v>86</v>
      </c>
      <c r="B21" s="9">
        <v>54727</v>
      </c>
      <c r="C21" s="9">
        <v>33461</v>
      </c>
      <c r="D21" s="9">
        <v>1785</v>
      </c>
      <c r="E21" s="9">
        <v>4</v>
      </c>
      <c r="F21" s="9">
        <v>975</v>
      </c>
      <c r="G21" s="9">
        <v>2942</v>
      </c>
      <c r="H21" s="9">
        <v>0</v>
      </c>
      <c r="I21" s="9">
        <v>39167</v>
      </c>
      <c r="J21" s="9">
        <v>25650</v>
      </c>
      <c r="K21" s="291"/>
      <c r="L21" s="292"/>
      <c r="M21" s="45"/>
      <c r="N21" s="45"/>
      <c r="O21" s="45"/>
    </row>
    <row r="22" spans="1:18" ht="13" x14ac:dyDescent="0.3">
      <c r="A22" s="5" t="s">
        <v>23</v>
      </c>
      <c r="B22" s="9">
        <f t="shared" ref="B22:J22" si="6">B20-B21</f>
        <v>-281</v>
      </c>
      <c r="C22" s="9">
        <f t="shared" si="6"/>
        <v>-287</v>
      </c>
      <c r="D22" s="9">
        <f t="shared" si="6"/>
        <v>-53</v>
      </c>
      <c r="E22" s="9">
        <f t="shared" si="6"/>
        <v>5</v>
      </c>
      <c r="F22" s="9">
        <f t="shared" si="6"/>
        <v>4</v>
      </c>
      <c r="G22" s="9">
        <f t="shared" si="6"/>
        <v>-393</v>
      </c>
      <c r="H22" s="30">
        <f t="shared" si="6"/>
        <v>0</v>
      </c>
      <c r="I22" s="9">
        <f t="shared" si="6"/>
        <v>-724</v>
      </c>
      <c r="J22" s="9">
        <f t="shared" si="6"/>
        <v>-962</v>
      </c>
      <c r="K22" s="48"/>
      <c r="L22" s="158"/>
    </row>
    <row r="23" spans="1:18" ht="12.75" customHeight="1" x14ac:dyDescent="0.25"/>
    <row r="27" spans="1:18" ht="12.75" customHeight="1" x14ac:dyDescent="0.25"/>
    <row r="28" spans="1:18" ht="12.75" customHeight="1" x14ac:dyDescent="0.25"/>
    <row r="29" spans="1:18" ht="12.75" customHeight="1" x14ac:dyDescent="0.25"/>
    <row r="30" spans="1:18" ht="12.75" customHeight="1" x14ac:dyDescent="0.25"/>
    <row r="31" spans="1:18" ht="12.75" customHeight="1" x14ac:dyDescent="0.3">
      <c r="A31" s="1" t="s">
        <v>0</v>
      </c>
      <c r="B31" s="2" t="s">
        <v>1</v>
      </c>
      <c r="C31" s="2" t="s">
        <v>2</v>
      </c>
      <c r="D31" s="2" t="s">
        <v>3</v>
      </c>
      <c r="E31" s="2" t="s">
        <v>4</v>
      </c>
      <c r="F31" s="2" t="s">
        <v>5</v>
      </c>
      <c r="G31" s="2" t="s">
        <v>6</v>
      </c>
      <c r="H31" s="32" t="s">
        <v>7</v>
      </c>
      <c r="I31" s="1" t="s">
        <v>8</v>
      </c>
      <c r="J31" s="2" t="s">
        <v>10</v>
      </c>
      <c r="K31" s="2" t="s">
        <v>1</v>
      </c>
      <c r="L31" s="2" t="s">
        <v>9</v>
      </c>
      <c r="M31" s="25"/>
      <c r="N31" s="163" t="s">
        <v>103</v>
      </c>
      <c r="O31" s="163" t="s">
        <v>104</v>
      </c>
      <c r="Q31" s="163" t="s">
        <v>94</v>
      </c>
      <c r="R31" s="163" t="s">
        <v>95</v>
      </c>
    </row>
    <row r="32" spans="1:18" ht="12.75" customHeight="1" x14ac:dyDescent="0.3">
      <c r="A32" t="s">
        <v>11</v>
      </c>
      <c r="B32" s="10">
        <v>3002</v>
      </c>
      <c r="C32" s="10">
        <v>2058</v>
      </c>
      <c r="D32" s="10">
        <v>114</v>
      </c>
      <c r="E32" s="10">
        <v>0</v>
      </c>
      <c r="F32" s="10">
        <v>86</v>
      </c>
      <c r="G32" s="10">
        <v>11</v>
      </c>
      <c r="H32" s="31">
        <v>0</v>
      </c>
      <c r="I32" s="10">
        <f>SUM(C32:G32)</f>
        <v>2269</v>
      </c>
      <c r="J32" s="10">
        <f>(D32*10)+(F32*8)</f>
        <v>1828</v>
      </c>
      <c r="K32" s="285">
        <v>-8.3918217882209337E-2</v>
      </c>
      <c r="L32" s="286">
        <v>-3.0756087142246903E-2</v>
      </c>
      <c r="M32" s="22"/>
      <c r="N32" s="143">
        <v>-275</v>
      </c>
      <c r="O32" s="143">
        <v>-72</v>
      </c>
      <c r="Q32" s="12">
        <v>3277</v>
      </c>
      <c r="R32" s="12">
        <v>2341</v>
      </c>
    </row>
    <row r="33" spans="1:18" ht="12.75" customHeight="1" x14ac:dyDescent="0.3">
      <c r="A33" t="s">
        <v>12</v>
      </c>
      <c r="B33" s="10">
        <v>2418</v>
      </c>
      <c r="C33" s="10">
        <v>1589</v>
      </c>
      <c r="D33" s="10">
        <v>100</v>
      </c>
      <c r="E33" s="10">
        <v>0</v>
      </c>
      <c r="F33" s="10">
        <v>71</v>
      </c>
      <c r="G33" s="10">
        <v>4</v>
      </c>
      <c r="H33" s="31">
        <v>0</v>
      </c>
      <c r="I33" s="10">
        <f t="shared" ref="I33:I43" si="7">SUM(C33:G33)</f>
        <v>1764</v>
      </c>
      <c r="J33" s="10">
        <f t="shared" ref="J33:J43" si="8">(D33*10)+(F33*8)</f>
        <v>1568</v>
      </c>
      <c r="K33" s="285">
        <v>-0.10543840177580466</v>
      </c>
      <c r="L33" s="287">
        <v>-0.13993174061433447</v>
      </c>
      <c r="M33" s="22"/>
      <c r="N33" s="143">
        <v>-285</v>
      </c>
      <c r="O33" s="143">
        <v>-287</v>
      </c>
      <c r="Q33" s="12">
        <v>2703</v>
      </c>
      <c r="R33" s="12">
        <v>2051</v>
      </c>
    </row>
    <row r="34" spans="1:18" ht="12.75" customHeight="1" x14ac:dyDescent="0.3">
      <c r="A34" t="s">
        <v>13</v>
      </c>
      <c r="B34" s="10">
        <v>3192</v>
      </c>
      <c r="C34" s="10">
        <v>2034</v>
      </c>
      <c r="D34" s="10">
        <v>94</v>
      </c>
      <c r="E34" s="10">
        <v>0</v>
      </c>
      <c r="F34" s="10">
        <v>78</v>
      </c>
      <c r="G34" s="10">
        <v>12</v>
      </c>
      <c r="H34" s="31">
        <v>0</v>
      </c>
      <c r="I34" s="10">
        <f t="shared" si="7"/>
        <v>2218</v>
      </c>
      <c r="J34" s="10">
        <f t="shared" si="8"/>
        <v>1564</v>
      </c>
      <c r="K34" s="285">
        <v>-2.2058823529411766E-2</v>
      </c>
      <c r="L34" s="287">
        <v>-9.9106417546709985E-2</v>
      </c>
      <c r="M34" s="22"/>
      <c r="N34" s="143">
        <v>-72</v>
      </c>
      <c r="O34" s="143">
        <v>-244</v>
      </c>
      <c r="Q34" s="12">
        <v>3264</v>
      </c>
      <c r="R34" s="12">
        <v>2462</v>
      </c>
    </row>
    <row r="35" spans="1:18" ht="12.75" customHeight="1" x14ac:dyDescent="0.3">
      <c r="A35" t="s">
        <v>14</v>
      </c>
      <c r="B35" s="10">
        <v>3474</v>
      </c>
      <c r="C35" s="10">
        <v>2293</v>
      </c>
      <c r="D35" s="10">
        <v>96</v>
      </c>
      <c r="E35" s="10">
        <v>0</v>
      </c>
      <c r="F35" s="10">
        <v>80</v>
      </c>
      <c r="G35" s="10">
        <v>43</v>
      </c>
      <c r="H35" s="31">
        <v>0</v>
      </c>
      <c r="I35" s="10">
        <f t="shared" si="7"/>
        <v>2512</v>
      </c>
      <c r="J35" s="10">
        <f t="shared" si="8"/>
        <v>1600</v>
      </c>
      <c r="K35" s="285">
        <v>-8.289334741288279E-2</v>
      </c>
      <c r="L35" s="287">
        <v>-6.1986557132188203E-2</v>
      </c>
      <c r="M35" s="22"/>
      <c r="N35" s="143">
        <v>-314</v>
      </c>
      <c r="O35" s="143">
        <v>-166</v>
      </c>
      <c r="Q35" s="12">
        <v>3788</v>
      </c>
      <c r="R35" s="12">
        <v>2678</v>
      </c>
    </row>
    <row r="36" spans="1:18" ht="12.75" customHeight="1" x14ac:dyDescent="0.3">
      <c r="A36" t="s">
        <v>15</v>
      </c>
      <c r="B36" s="10">
        <v>4773</v>
      </c>
      <c r="C36" s="10">
        <v>2936</v>
      </c>
      <c r="D36" s="10">
        <v>131</v>
      </c>
      <c r="E36" s="10">
        <v>0</v>
      </c>
      <c r="F36" s="10">
        <v>139</v>
      </c>
      <c r="G36" s="10">
        <v>172</v>
      </c>
      <c r="H36" s="31">
        <v>0</v>
      </c>
      <c r="I36" s="10">
        <f t="shared" si="7"/>
        <v>3378</v>
      </c>
      <c r="J36" s="10">
        <f t="shared" si="8"/>
        <v>2422</v>
      </c>
      <c r="K36" s="285">
        <v>-1.7901234567901235E-2</v>
      </c>
      <c r="L36" s="287">
        <v>-1.6020972909991261E-2</v>
      </c>
      <c r="M36" s="22"/>
      <c r="N36" s="143">
        <v>-87</v>
      </c>
      <c r="O36" s="143">
        <v>-55</v>
      </c>
      <c r="Q36" s="12">
        <v>4860</v>
      </c>
      <c r="R36" s="12">
        <v>3433</v>
      </c>
    </row>
    <row r="37" spans="1:18" ht="12.75" customHeight="1" x14ac:dyDescent="0.3">
      <c r="A37" t="s">
        <v>16</v>
      </c>
      <c r="B37" s="10">
        <v>5676</v>
      </c>
      <c r="C37" s="10">
        <v>3179</v>
      </c>
      <c r="D37" s="10">
        <v>130</v>
      </c>
      <c r="E37" s="10">
        <v>1</v>
      </c>
      <c r="F37" s="10">
        <v>104</v>
      </c>
      <c r="G37" s="10">
        <v>474</v>
      </c>
      <c r="H37" s="31">
        <v>0</v>
      </c>
      <c r="I37" s="10">
        <f t="shared" si="7"/>
        <v>3888</v>
      </c>
      <c r="J37" s="10">
        <f t="shared" si="8"/>
        <v>2132</v>
      </c>
      <c r="K37" s="285">
        <v>4.1276829939460649E-2</v>
      </c>
      <c r="L37" s="287">
        <v>1.993704092339979E-2</v>
      </c>
      <c r="M37" s="22"/>
      <c r="N37" s="143">
        <v>225</v>
      </c>
      <c r="O37" s="143">
        <v>76</v>
      </c>
      <c r="Q37" s="12">
        <v>5451</v>
      </c>
      <c r="R37" s="12">
        <v>3812</v>
      </c>
    </row>
    <row r="38" spans="1:18" ht="12.75" customHeight="1" x14ac:dyDescent="0.3">
      <c r="A38" t="s">
        <v>17</v>
      </c>
      <c r="B38" s="10">
        <v>8666</v>
      </c>
      <c r="C38" s="10">
        <v>4093</v>
      </c>
      <c r="D38" s="10">
        <v>148</v>
      </c>
      <c r="E38" s="10">
        <v>0</v>
      </c>
      <c r="F38" s="10">
        <v>98</v>
      </c>
      <c r="G38" s="10">
        <v>1040</v>
      </c>
      <c r="H38" s="31">
        <v>0</v>
      </c>
      <c r="I38" s="10">
        <f t="shared" si="7"/>
        <v>5379</v>
      </c>
      <c r="J38" s="10">
        <f t="shared" si="8"/>
        <v>2264</v>
      </c>
      <c r="K38" s="285">
        <v>-1.801699716713881E-2</v>
      </c>
      <c r="L38" s="287">
        <v>-7.6407967032967039E-2</v>
      </c>
      <c r="M38" s="22"/>
      <c r="N38" s="143">
        <v>-159</v>
      </c>
      <c r="O38" s="143">
        <v>-445</v>
      </c>
      <c r="Q38" s="12">
        <v>8825</v>
      </c>
      <c r="R38" s="12">
        <v>5824</v>
      </c>
    </row>
    <row r="39" spans="1:18" ht="12.75" customHeight="1" x14ac:dyDescent="0.3">
      <c r="A39" t="s">
        <v>18</v>
      </c>
      <c r="B39" s="10">
        <v>6284</v>
      </c>
      <c r="C39" s="10">
        <v>3445</v>
      </c>
      <c r="D39" s="10">
        <v>130</v>
      </c>
      <c r="E39" s="10">
        <v>1</v>
      </c>
      <c r="F39" s="10">
        <v>83</v>
      </c>
      <c r="G39" s="10">
        <v>533</v>
      </c>
      <c r="H39" s="31">
        <v>0</v>
      </c>
      <c r="I39" s="10">
        <f t="shared" si="7"/>
        <v>4192</v>
      </c>
      <c r="J39" s="10">
        <f t="shared" si="8"/>
        <v>1964</v>
      </c>
      <c r="K39" s="285">
        <v>-8.821822402785838E-2</v>
      </c>
      <c r="L39" s="287">
        <v>-9.5186704079430182E-2</v>
      </c>
      <c r="M39" s="22"/>
      <c r="N39" s="143">
        <v>-608</v>
      </c>
      <c r="O39" s="143">
        <v>-441</v>
      </c>
      <c r="Q39" s="12">
        <v>6892</v>
      </c>
      <c r="R39" s="12">
        <v>4633</v>
      </c>
    </row>
    <row r="40" spans="1:18" ht="12.75" customHeight="1" x14ac:dyDescent="0.3">
      <c r="A40" t="s">
        <v>19</v>
      </c>
      <c r="B40" s="10">
        <v>4240</v>
      </c>
      <c r="C40" s="10">
        <v>2708</v>
      </c>
      <c r="D40" s="10">
        <v>109</v>
      </c>
      <c r="E40" s="10">
        <v>0</v>
      </c>
      <c r="F40" s="10">
        <v>102</v>
      </c>
      <c r="G40" s="10">
        <v>97</v>
      </c>
      <c r="H40" s="31">
        <v>0</v>
      </c>
      <c r="I40" s="10">
        <f t="shared" si="7"/>
        <v>3016</v>
      </c>
      <c r="J40" s="10">
        <f t="shared" si="8"/>
        <v>1906</v>
      </c>
      <c r="K40" s="285">
        <v>-0.10980474490867101</v>
      </c>
      <c r="L40" s="287">
        <v>-0.12832369942196531</v>
      </c>
      <c r="M40" s="22"/>
      <c r="N40" s="143">
        <v>-523</v>
      </c>
      <c r="O40" s="143">
        <v>-444</v>
      </c>
      <c r="Q40" s="12">
        <v>4763</v>
      </c>
      <c r="R40" s="12">
        <v>3460</v>
      </c>
    </row>
    <row r="41" spans="1:18" ht="12.75" customHeight="1" x14ac:dyDescent="0.3">
      <c r="A41" t="s">
        <v>20</v>
      </c>
      <c r="B41" s="10">
        <v>3998</v>
      </c>
      <c r="C41" s="10">
        <v>2677</v>
      </c>
      <c r="D41" s="10">
        <v>137</v>
      </c>
      <c r="E41" s="10">
        <v>0</v>
      </c>
      <c r="F41" s="10">
        <v>135</v>
      </c>
      <c r="G41" s="10">
        <v>39</v>
      </c>
      <c r="H41" s="31">
        <v>0</v>
      </c>
      <c r="I41" s="10">
        <f t="shared" si="7"/>
        <v>2988</v>
      </c>
      <c r="J41" s="10">
        <f t="shared" si="8"/>
        <v>2450</v>
      </c>
      <c r="K41" s="285">
        <v>5.7392224279291193E-2</v>
      </c>
      <c r="L41" s="287">
        <v>6.1456483126110122E-2</v>
      </c>
      <c r="M41" s="22"/>
      <c r="N41" s="143">
        <v>217</v>
      </c>
      <c r="O41" s="143">
        <v>173</v>
      </c>
      <c r="Q41" s="12">
        <v>3781</v>
      </c>
      <c r="R41" s="12">
        <v>2815</v>
      </c>
    </row>
    <row r="42" spans="1:18" ht="12.75" customHeight="1" x14ac:dyDescent="0.3">
      <c r="A42" t="s">
        <v>21</v>
      </c>
      <c r="B42" s="10">
        <v>3586</v>
      </c>
      <c r="C42" s="10">
        <v>2308</v>
      </c>
      <c r="D42" s="10">
        <v>130</v>
      </c>
      <c r="E42" s="10">
        <v>0</v>
      </c>
      <c r="F42" s="10">
        <v>135</v>
      </c>
      <c r="G42" s="10">
        <v>14</v>
      </c>
      <c r="H42" s="31">
        <v>0</v>
      </c>
      <c r="I42" s="10">
        <f t="shared" si="7"/>
        <v>2587</v>
      </c>
      <c r="J42" s="10">
        <f t="shared" si="8"/>
        <v>2380</v>
      </c>
      <c r="K42" s="285">
        <v>5.6085249579360631E-3</v>
      </c>
      <c r="L42" s="287">
        <v>-1.5226494099733536E-2</v>
      </c>
      <c r="M42" s="22"/>
      <c r="N42" s="143">
        <v>20</v>
      </c>
      <c r="O42" s="143">
        <v>-40</v>
      </c>
      <c r="Q42" s="12">
        <v>3566</v>
      </c>
      <c r="R42" s="12">
        <v>2627</v>
      </c>
    </row>
    <row r="43" spans="1:18" ht="12.75" customHeight="1" x14ac:dyDescent="0.3">
      <c r="A43" s="4" t="s">
        <v>22</v>
      </c>
      <c r="B43" s="11">
        <v>3115</v>
      </c>
      <c r="C43" s="11">
        <v>2025</v>
      </c>
      <c r="D43" s="11">
        <v>89</v>
      </c>
      <c r="E43" s="11">
        <v>0</v>
      </c>
      <c r="F43" s="11">
        <v>60</v>
      </c>
      <c r="G43" s="11">
        <v>9</v>
      </c>
      <c r="H43" s="30">
        <v>0</v>
      </c>
      <c r="I43" s="11">
        <f t="shared" si="7"/>
        <v>2183</v>
      </c>
      <c r="J43" s="11">
        <f t="shared" si="8"/>
        <v>1370</v>
      </c>
      <c r="K43" s="288">
        <v>-4.9145299145299144E-2</v>
      </c>
      <c r="L43" s="289">
        <v>-5.3749458170784567E-2</v>
      </c>
      <c r="M43" s="22"/>
      <c r="N43" s="169">
        <v>-161</v>
      </c>
      <c r="O43" s="169">
        <v>-124</v>
      </c>
      <c r="Q43" s="20">
        <v>3276</v>
      </c>
      <c r="R43" s="20">
        <v>2307</v>
      </c>
    </row>
    <row r="44" spans="1:18" ht="12.75" customHeight="1" x14ac:dyDescent="0.3">
      <c r="A44" s="3" t="s">
        <v>106</v>
      </c>
      <c r="B44" s="8">
        <f t="shared" ref="B44:J44" si="9">SUM(B32:B43)</f>
        <v>52424</v>
      </c>
      <c r="C44" s="8">
        <f t="shared" si="9"/>
        <v>31345</v>
      </c>
      <c r="D44" s="8">
        <f t="shared" si="9"/>
        <v>1408</v>
      </c>
      <c r="E44" s="8">
        <f t="shared" si="9"/>
        <v>2</v>
      </c>
      <c r="F44" s="8">
        <f t="shared" si="9"/>
        <v>1171</v>
      </c>
      <c r="G44" s="8">
        <f t="shared" si="9"/>
        <v>2448</v>
      </c>
      <c r="H44" s="31">
        <f t="shared" si="9"/>
        <v>0</v>
      </c>
      <c r="I44" s="8">
        <f t="shared" si="9"/>
        <v>36374</v>
      </c>
      <c r="J44" s="8">
        <f t="shared" si="9"/>
        <v>23448</v>
      </c>
      <c r="K44" s="290">
        <v>-3.7137714432648863E-2</v>
      </c>
      <c r="L44" s="187">
        <v>-5.3819941211664023E-2</v>
      </c>
      <c r="M44" s="22"/>
      <c r="N44" s="143">
        <v>-2022</v>
      </c>
      <c r="O44" s="143">
        <v>-2069</v>
      </c>
      <c r="Q44" s="12">
        <v>54446</v>
      </c>
      <c r="R44" s="12">
        <v>38443</v>
      </c>
    </row>
    <row r="45" spans="1:18" ht="12.75" customHeight="1" x14ac:dyDescent="0.3">
      <c r="A45" s="5" t="s">
        <v>93</v>
      </c>
      <c r="B45" s="9">
        <v>54446</v>
      </c>
      <c r="C45" s="9">
        <v>33174</v>
      </c>
      <c r="D45" s="9">
        <v>1732</v>
      </c>
      <c r="E45" s="9">
        <v>9</v>
      </c>
      <c r="F45" s="9">
        <v>979</v>
      </c>
      <c r="G45" s="9">
        <v>2549</v>
      </c>
      <c r="H45" s="9">
        <v>0</v>
      </c>
      <c r="I45" s="9">
        <v>38443</v>
      </c>
      <c r="J45" s="9">
        <v>24688</v>
      </c>
      <c r="K45" s="293">
        <v>-5.134577082610046E-3</v>
      </c>
      <c r="L45" s="294">
        <v>-1.8484949064263283E-2</v>
      </c>
      <c r="M45" s="45"/>
      <c r="N45" s="45"/>
      <c r="O45" s="45"/>
    </row>
    <row r="46" spans="1:18" ht="12.75" customHeight="1" x14ac:dyDescent="0.3">
      <c r="A46" s="5" t="s">
        <v>23</v>
      </c>
      <c r="B46" s="9">
        <f t="shared" ref="B46:J46" si="10">B44-B45</f>
        <v>-2022</v>
      </c>
      <c r="C46" s="9">
        <f t="shared" si="10"/>
        <v>-1829</v>
      </c>
      <c r="D46" s="9">
        <f t="shared" si="10"/>
        <v>-324</v>
      </c>
      <c r="E46" s="9">
        <f t="shared" si="10"/>
        <v>-7</v>
      </c>
      <c r="F46" s="9">
        <f t="shared" si="10"/>
        <v>192</v>
      </c>
      <c r="G46" s="9">
        <f t="shared" si="10"/>
        <v>-101</v>
      </c>
      <c r="H46" s="30">
        <f t="shared" si="10"/>
        <v>0</v>
      </c>
      <c r="I46" s="9">
        <f t="shared" si="10"/>
        <v>-2069</v>
      </c>
      <c r="J46" s="9">
        <f t="shared" si="10"/>
        <v>-1240</v>
      </c>
      <c r="K46" s="48"/>
      <c r="L46" s="158"/>
    </row>
    <row r="49" spans="1:18" ht="18" x14ac:dyDescent="0.25">
      <c r="D49" s="335" t="s">
        <v>146</v>
      </c>
    </row>
    <row r="50" spans="1:18" ht="12.75" customHeight="1" x14ac:dyDescent="0.25"/>
    <row r="51" spans="1:18" ht="12.75" customHeight="1" x14ac:dyDescent="0.25"/>
    <row r="52" spans="1:18" ht="12.75" customHeight="1" x14ac:dyDescent="0.3">
      <c r="A52" s="1" t="s">
        <v>0</v>
      </c>
      <c r="B52" s="2" t="s">
        <v>1</v>
      </c>
      <c r="C52" s="2" t="s">
        <v>2</v>
      </c>
      <c r="D52" s="2" t="s">
        <v>3</v>
      </c>
      <c r="E52" s="2" t="s">
        <v>4</v>
      </c>
      <c r="F52" s="2" t="s">
        <v>5</v>
      </c>
      <c r="G52" s="2" t="s">
        <v>6</v>
      </c>
      <c r="H52" s="32" t="s">
        <v>7</v>
      </c>
      <c r="I52" s="1" t="s">
        <v>8</v>
      </c>
      <c r="J52" s="2" t="s">
        <v>10</v>
      </c>
      <c r="K52" s="2" t="s">
        <v>1</v>
      </c>
      <c r="L52" s="2" t="s">
        <v>9</v>
      </c>
      <c r="N52" s="163" t="s">
        <v>129</v>
      </c>
      <c r="O52" s="163" t="s">
        <v>130</v>
      </c>
      <c r="Q52" s="163" t="s">
        <v>103</v>
      </c>
      <c r="R52" s="163" t="s">
        <v>104</v>
      </c>
    </row>
    <row r="53" spans="1:18" ht="12.75" customHeight="1" x14ac:dyDescent="0.3">
      <c r="A53" t="s">
        <v>11</v>
      </c>
      <c r="B53" s="10">
        <v>3154</v>
      </c>
      <c r="C53" s="10">
        <v>2170</v>
      </c>
      <c r="D53" s="10">
        <v>70</v>
      </c>
      <c r="E53" s="10">
        <v>0</v>
      </c>
      <c r="F53" s="10">
        <v>73</v>
      </c>
      <c r="G53" s="10">
        <v>15</v>
      </c>
      <c r="H53" s="31">
        <v>0</v>
      </c>
      <c r="I53" s="10">
        <f>SUM(C53:G53)</f>
        <v>2328</v>
      </c>
      <c r="J53" s="10">
        <f>(D53*12+F53*8)</f>
        <v>1424</v>
      </c>
      <c r="K53" s="285">
        <f>N53/Q53</f>
        <v>5.0632911392405063E-2</v>
      </c>
      <c r="L53" s="286">
        <f>O53/R53</f>
        <v>2.6002644336712209E-2</v>
      </c>
      <c r="N53" s="143">
        <f>B53-Q53</f>
        <v>152</v>
      </c>
      <c r="O53" s="143">
        <f>I53-R53</f>
        <v>59</v>
      </c>
      <c r="Q53" s="12">
        <v>3002</v>
      </c>
      <c r="R53" s="12">
        <v>2269</v>
      </c>
    </row>
    <row r="54" spans="1:18" ht="12.75" customHeight="1" x14ac:dyDescent="0.3">
      <c r="A54" t="s">
        <v>12</v>
      </c>
      <c r="B54" s="10">
        <v>2428</v>
      </c>
      <c r="C54" s="10">
        <v>1606</v>
      </c>
      <c r="D54" s="10">
        <v>76</v>
      </c>
      <c r="E54" s="10">
        <v>0</v>
      </c>
      <c r="F54" s="10">
        <v>44</v>
      </c>
      <c r="G54" s="10">
        <v>16</v>
      </c>
      <c r="H54" s="31">
        <v>0</v>
      </c>
      <c r="I54" s="10">
        <f t="shared" ref="I54:I64" si="11">SUM(C54:G54)</f>
        <v>1742</v>
      </c>
      <c r="J54" s="10">
        <f t="shared" ref="J54:J64" si="12">(D54*12+F54*8)</f>
        <v>1264</v>
      </c>
      <c r="K54" s="285">
        <f>N54/Q54</f>
        <v>4.1356492969396195E-3</v>
      </c>
      <c r="L54" s="287">
        <f t="shared" ref="L54:L65" si="13">O54/R54</f>
        <v>-1.2471655328798186E-2</v>
      </c>
      <c r="N54" s="143">
        <f t="shared" ref="N54:N64" si="14">B54-Q54</f>
        <v>10</v>
      </c>
      <c r="O54" s="143">
        <f t="shared" ref="O54:O64" si="15">I54-R54</f>
        <v>-22</v>
      </c>
      <c r="Q54" s="12">
        <v>2418</v>
      </c>
      <c r="R54" s="12">
        <v>1764</v>
      </c>
    </row>
    <row r="55" spans="1:18" ht="12.75" customHeight="1" x14ac:dyDescent="0.3">
      <c r="A55" t="s">
        <v>13</v>
      </c>
      <c r="B55" s="10">
        <v>3340</v>
      </c>
      <c r="C55" s="10">
        <v>2233</v>
      </c>
      <c r="D55" s="10">
        <v>76</v>
      </c>
      <c r="E55" s="10">
        <v>0</v>
      </c>
      <c r="F55" s="10">
        <v>50</v>
      </c>
      <c r="G55" s="10">
        <v>19</v>
      </c>
      <c r="H55" s="31">
        <v>0</v>
      </c>
      <c r="I55" s="10">
        <f t="shared" si="11"/>
        <v>2378</v>
      </c>
      <c r="J55" s="10">
        <f t="shared" si="12"/>
        <v>1312</v>
      </c>
      <c r="K55" s="285">
        <f>N55/Q55</f>
        <v>4.6365914786967416E-2</v>
      </c>
      <c r="L55" s="287">
        <f t="shared" si="13"/>
        <v>7.2137060414788096E-2</v>
      </c>
      <c r="N55" s="143">
        <f t="shared" si="14"/>
        <v>148</v>
      </c>
      <c r="O55" s="143">
        <f t="shared" si="15"/>
        <v>160</v>
      </c>
      <c r="Q55" s="12">
        <v>3192</v>
      </c>
      <c r="R55" s="12">
        <v>2218</v>
      </c>
    </row>
    <row r="56" spans="1:18" ht="12.75" customHeight="1" x14ac:dyDescent="0.3">
      <c r="A56" t="s">
        <v>14</v>
      </c>
      <c r="B56" s="10">
        <v>8166</v>
      </c>
      <c r="C56" s="10">
        <v>5041</v>
      </c>
      <c r="D56" s="10">
        <v>241</v>
      </c>
      <c r="E56" s="10">
        <v>0</v>
      </c>
      <c r="F56" s="10">
        <v>82</v>
      </c>
      <c r="G56" s="10">
        <v>196</v>
      </c>
      <c r="H56" s="31">
        <v>0</v>
      </c>
      <c r="I56" s="10">
        <f t="shared" si="11"/>
        <v>5560</v>
      </c>
      <c r="J56" s="10">
        <f t="shared" si="12"/>
        <v>3548</v>
      </c>
      <c r="K56" s="285">
        <f>N56/Q56</f>
        <v>1.3506044905008636</v>
      </c>
      <c r="L56" s="287">
        <f t="shared" si="13"/>
        <v>1.213375796178344</v>
      </c>
      <c r="N56" s="143">
        <f t="shared" si="14"/>
        <v>4692</v>
      </c>
      <c r="O56" s="143">
        <f t="shared" si="15"/>
        <v>3048</v>
      </c>
      <c r="Q56" s="12">
        <v>3474</v>
      </c>
      <c r="R56" s="12">
        <v>2512</v>
      </c>
    </row>
    <row r="57" spans="1:18" ht="12.75" customHeight="1" x14ac:dyDescent="0.3">
      <c r="A57" t="s">
        <v>15</v>
      </c>
      <c r="B57" s="10">
        <v>4672</v>
      </c>
      <c r="C57" s="10">
        <v>2867</v>
      </c>
      <c r="D57" s="10">
        <v>94</v>
      </c>
      <c r="E57" s="10">
        <v>2</v>
      </c>
      <c r="F57" s="10">
        <v>124</v>
      </c>
      <c r="G57" s="10">
        <v>149</v>
      </c>
      <c r="H57" s="31">
        <v>0</v>
      </c>
      <c r="I57" s="10">
        <f t="shared" si="11"/>
        <v>3236</v>
      </c>
      <c r="J57" s="10">
        <f t="shared" si="12"/>
        <v>2120</v>
      </c>
      <c r="K57" s="285">
        <f t="shared" ref="K57:K65" si="16">N57/Q57</f>
        <v>-2.116069557930023E-2</v>
      </c>
      <c r="L57" s="287">
        <f t="shared" si="13"/>
        <v>-4.2036708111308468E-2</v>
      </c>
      <c r="N57" s="143">
        <f t="shared" si="14"/>
        <v>-101</v>
      </c>
      <c r="O57" s="143">
        <f t="shared" si="15"/>
        <v>-142</v>
      </c>
      <c r="Q57" s="12">
        <v>4773</v>
      </c>
      <c r="R57" s="12">
        <v>3378</v>
      </c>
    </row>
    <row r="58" spans="1:18" ht="12.75" customHeight="1" x14ac:dyDescent="0.3">
      <c r="A58" t="s">
        <v>16</v>
      </c>
      <c r="B58" s="10">
        <v>5672</v>
      </c>
      <c r="C58" s="10">
        <v>3049</v>
      </c>
      <c r="D58" s="10">
        <v>97</v>
      </c>
      <c r="E58" s="10">
        <v>3</v>
      </c>
      <c r="F58" s="10">
        <v>169</v>
      </c>
      <c r="G58" s="10">
        <v>437</v>
      </c>
      <c r="H58" s="31">
        <v>0</v>
      </c>
      <c r="I58" s="10">
        <f>SUM(C58:G58)</f>
        <v>3755</v>
      </c>
      <c r="J58" s="10">
        <f>(D58*12+F58*8)</f>
        <v>2516</v>
      </c>
      <c r="K58" s="285">
        <f t="shared" si="16"/>
        <v>-7.0472163495419312E-4</v>
      </c>
      <c r="L58" s="287">
        <f t="shared" si="13"/>
        <v>-3.4207818930041149E-2</v>
      </c>
      <c r="N58" s="143">
        <f>B58-Q58</f>
        <v>-4</v>
      </c>
      <c r="O58" s="143">
        <f t="shared" si="15"/>
        <v>-133</v>
      </c>
      <c r="Q58" s="12">
        <v>5676</v>
      </c>
      <c r="R58" s="12">
        <v>3888</v>
      </c>
    </row>
    <row r="59" spans="1:18" ht="12.75" customHeight="1" x14ac:dyDescent="0.3">
      <c r="A59" t="s">
        <v>17</v>
      </c>
      <c r="B59" s="10">
        <v>8749</v>
      </c>
      <c r="C59" s="10">
        <v>4286</v>
      </c>
      <c r="D59" s="10">
        <v>136</v>
      </c>
      <c r="E59" s="10">
        <v>4</v>
      </c>
      <c r="F59" s="10">
        <v>116</v>
      </c>
      <c r="G59" s="10">
        <v>1133</v>
      </c>
      <c r="H59" s="31">
        <v>0</v>
      </c>
      <c r="I59" s="10">
        <f>SUM(C59:G59)</f>
        <v>5675</v>
      </c>
      <c r="J59" s="10">
        <f>(D59*12+F59*8)</f>
        <v>2560</v>
      </c>
      <c r="K59" s="285">
        <f t="shared" si="16"/>
        <v>9.5776598199861524E-3</v>
      </c>
      <c r="L59" s="287">
        <f t="shared" si="13"/>
        <v>5.5028815765012083E-2</v>
      </c>
      <c r="N59" s="143">
        <f>B59-Q59</f>
        <v>83</v>
      </c>
      <c r="O59" s="143">
        <f t="shared" si="15"/>
        <v>296</v>
      </c>
      <c r="Q59" s="12">
        <v>8666</v>
      </c>
      <c r="R59" s="12">
        <v>5379</v>
      </c>
    </row>
    <row r="60" spans="1:18" ht="12.75" customHeight="1" x14ac:dyDescent="0.3">
      <c r="A60" t="s">
        <v>18</v>
      </c>
      <c r="B60" s="10">
        <v>6088</v>
      </c>
      <c r="C60" s="10">
        <v>3285</v>
      </c>
      <c r="D60" s="10">
        <v>115</v>
      </c>
      <c r="E60" s="10">
        <v>0</v>
      </c>
      <c r="F60" s="10">
        <v>78</v>
      </c>
      <c r="G60" s="10">
        <v>599</v>
      </c>
      <c r="H60" s="31">
        <v>0</v>
      </c>
      <c r="I60" s="10">
        <f t="shared" si="11"/>
        <v>4077</v>
      </c>
      <c r="J60" s="10">
        <f t="shared" si="12"/>
        <v>2004</v>
      </c>
      <c r="K60" s="285">
        <f t="shared" si="16"/>
        <v>-3.1190324633991087E-2</v>
      </c>
      <c r="L60" s="287">
        <f t="shared" si="13"/>
        <v>-2.743320610687023E-2</v>
      </c>
      <c r="N60" s="143">
        <f t="shared" si="14"/>
        <v>-196</v>
      </c>
      <c r="O60" s="143">
        <f t="shared" si="15"/>
        <v>-115</v>
      </c>
      <c r="Q60" s="12">
        <v>6284</v>
      </c>
      <c r="R60" s="12">
        <v>4192</v>
      </c>
    </row>
    <row r="61" spans="1:18" ht="12.75" customHeight="1" x14ac:dyDescent="0.3">
      <c r="A61" t="s">
        <v>19</v>
      </c>
      <c r="B61" s="10">
        <v>3857</v>
      </c>
      <c r="C61" s="10">
        <v>2388</v>
      </c>
      <c r="D61" s="10">
        <v>83</v>
      </c>
      <c r="E61" s="10">
        <v>1</v>
      </c>
      <c r="F61" s="10">
        <v>68</v>
      </c>
      <c r="G61" s="10">
        <v>119</v>
      </c>
      <c r="H61" s="31">
        <v>0</v>
      </c>
      <c r="I61" s="10">
        <f t="shared" si="11"/>
        <v>2659</v>
      </c>
      <c r="J61" s="10">
        <f t="shared" si="12"/>
        <v>1540</v>
      </c>
      <c r="K61" s="285">
        <f t="shared" si="16"/>
        <v>-9.0330188679245277E-2</v>
      </c>
      <c r="L61" s="287">
        <f t="shared" si="13"/>
        <v>-0.11836870026525199</v>
      </c>
      <c r="N61" s="143">
        <f t="shared" si="14"/>
        <v>-383</v>
      </c>
      <c r="O61" s="143">
        <f t="shared" si="15"/>
        <v>-357</v>
      </c>
      <c r="Q61" s="12">
        <v>4240</v>
      </c>
      <c r="R61" s="12">
        <v>3016</v>
      </c>
    </row>
    <row r="62" spans="1:18" ht="12.75" customHeight="1" x14ac:dyDescent="0.3">
      <c r="A62" t="s">
        <v>20</v>
      </c>
      <c r="B62" s="10">
        <v>3648</v>
      </c>
      <c r="C62" s="10">
        <v>2404</v>
      </c>
      <c r="D62" s="10">
        <v>107</v>
      </c>
      <c r="E62" s="10">
        <v>0</v>
      </c>
      <c r="F62" s="10">
        <v>38</v>
      </c>
      <c r="G62" s="10">
        <v>81</v>
      </c>
      <c r="H62" s="31">
        <v>0</v>
      </c>
      <c r="I62" s="10">
        <f t="shared" si="11"/>
        <v>2630</v>
      </c>
      <c r="J62" s="10">
        <f t="shared" si="12"/>
        <v>1588</v>
      </c>
      <c r="K62" s="285">
        <f t="shared" si="16"/>
        <v>-8.7543771885942978E-2</v>
      </c>
      <c r="L62" s="287">
        <f t="shared" si="13"/>
        <v>-0.11981258366800536</v>
      </c>
      <c r="N62" s="143">
        <f t="shared" si="14"/>
        <v>-350</v>
      </c>
      <c r="O62" s="143">
        <f t="shared" si="15"/>
        <v>-358</v>
      </c>
      <c r="Q62" s="12">
        <v>3998</v>
      </c>
      <c r="R62" s="12">
        <v>2988</v>
      </c>
    </row>
    <row r="63" spans="1:18" ht="12.75" customHeight="1" x14ac:dyDescent="0.3">
      <c r="A63" t="s">
        <v>21</v>
      </c>
      <c r="B63" s="10">
        <v>3244</v>
      </c>
      <c r="C63" s="10">
        <v>2104</v>
      </c>
      <c r="D63" s="10">
        <v>100</v>
      </c>
      <c r="E63" s="10">
        <v>103</v>
      </c>
      <c r="F63" s="10">
        <v>0</v>
      </c>
      <c r="G63" s="10">
        <v>67</v>
      </c>
      <c r="H63" s="31">
        <v>0</v>
      </c>
      <c r="I63" s="10">
        <f t="shared" si="11"/>
        <v>2374</v>
      </c>
      <c r="J63" s="10">
        <f t="shared" si="12"/>
        <v>1200</v>
      </c>
      <c r="K63" s="285">
        <f t="shared" si="16"/>
        <v>-9.5370886781929731E-2</v>
      </c>
      <c r="L63" s="287">
        <f t="shared" si="13"/>
        <v>-8.233475067645922E-2</v>
      </c>
      <c r="N63" s="143">
        <f t="shared" si="14"/>
        <v>-342</v>
      </c>
      <c r="O63" s="143">
        <f t="shared" si="15"/>
        <v>-213</v>
      </c>
      <c r="Q63" s="12">
        <v>3586</v>
      </c>
      <c r="R63" s="12">
        <v>2587</v>
      </c>
    </row>
    <row r="64" spans="1:18" ht="12.75" customHeight="1" x14ac:dyDescent="0.3">
      <c r="A64" s="4" t="s">
        <v>22</v>
      </c>
      <c r="B64" s="11">
        <v>2981</v>
      </c>
      <c r="C64" s="11">
        <v>1994</v>
      </c>
      <c r="D64" s="11">
        <v>86</v>
      </c>
      <c r="E64" s="11">
        <v>52</v>
      </c>
      <c r="F64" s="11">
        <v>0</v>
      </c>
      <c r="G64" s="11">
        <v>55</v>
      </c>
      <c r="H64" s="30">
        <v>0</v>
      </c>
      <c r="I64" s="11">
        <f t="shared" si="11"/>
        <v>2187</v>
      </c>
      <c r="J64" s="11">
        <f t="shared" si="12"/>
        <v>1032</v>
      </c>
      <c r="K64" s="288">
        <f t="shared" si="16"/>
        <v>-4.3017656500802567E-2</v>
      </c>
      <c r="L64" s="289">
        <f t="shared" si="13"/>
        <v>1.8323408153916628E-3</v>
      </c>
      <c r="N64" s="169">
        <f t="shared" si="14"/>
        <v>-134</v>
      </c>
      <c r="O64" s="169">
        <f t="shared" si="15"/>
        <v>4</v>
      </c>
      <c r="Q64" s="20">
        <v>3115</v>
      </c>
      <c r="R64" s="20">
        <v>2183</v>
      </c>
    </row>
    <row r="65" spans="1:18" ht="12.75" customHeight="1" x14ac:dyDescent="0.3">
      <c r="A65" s="3" t="s">
        <v>131</v>
      </c>
      <c r="B65" s="8">
        <f t="shared" ref="B65:J65" si="17">SUM(B53:B64)</f>
        <v>55999</v>
      </c>
      <c r="C65" s="8">
        <f t="shared" si="17"/>
        <v>33427</v>
      </c>
      <c r="D65" s="8">
        <f t="shared" si="17"/>
        <v>1281</v>
      </c>
      <c r="E65" s="8">
        <f t="shared" si="17"/>
        <v>165</v>
      </c>
      <c r="F65" s="8">
        <f t="shared" si="17"/>
        <v>842</v>
      </c>
      <c r="G65" s="8">
        <f t="shared" si="17"/>
        <v>2886</v>
      </c>
      <c r="H65" s="31">
        <f t="shared" si="17"/>
        <v>0</v>
      </c>
      <c r="I65" s="8">
        <f t="shared" si="17"/>
        <v>38601</v>
      </c>
      <c r="J65" s="8">
        <f t="shared" si="17"/>
        <v>22108</v>
      </c>
      <c r="K65" s="290">
        <f t="shared" si="16"/>
        <v>6.8193956966274991E-2</v>
      </c>
      <c r="L65" s="187">
        <f t="shared" si="13"/>
        <v>6.1225050860504754E-2</v>
      </c>
      <c r="N65" s="143">
        <f>SUM(N53:N64)</f>
        <v>3575</v>
      </c>
      <c r="O65" s="143">
        <f>SUM(O53:O64)</f>
        <v>2227</v>
      </c>
      <c r="Q65" s="12">
        <f>SUM(Q53:Q64)</f>
        <v>52424</v>
      </c>
      <c r="R65" s="12">
        <f>SUM(R53:R64)</f>
        <v>36374</v>
      </c>
    </row>
    <row r="66" spans="1:18" ht="12.75" customHeight="1" x14ac:dyDescent="0.3">
      <c r="A66" s="5" t="s">
        <v>106</v>
      </c>
      <c r="B66" s="9">
        <v>52424</v>
      </c>
      <c r="C66" s="9">
        <v>31345</v>
      </c>
      <c r="D66" s="9">
        <v>1408</v>
      </c>
      <c r="E66" s="9">
        <v>2</v>
      </c>
      <c r="F66" s="9">
        <v>1171</v>
      </c>
      <c r="G66" s="9">
        <v>2448</v>
      </c>
      <c r="H66" s="9">
        <v>0</v>
      </c>
      <c r="I66" s="9">
        <v>36374</v>
      </c>
      <c r="J66" s="9">
        <v>23448</v>
      </c>
      <c r="K66" s="293">
        <v>-5.134577082610046E-3</v>
      </c>
      <c r="L66" s="294">
        <v>-1.8484949064263283E-2</v>
      </c>
    </row>
    <row r="67" spans="1:18" ht="12.75" customHeight="1" x14ac:dyDescent="0.3">
      <c r="A67" s="5" t="s">
        <v>23</v>
      </c>
      <c r="B67" s="9">
        <f t="shared" ref="B67:J67" si="18">B65-B66</f>
        <v>3575</v>
      </c>
      <c r="C67" s="9">
        <f t="shared" si="18"/>
        <v>2082</v>
      </c>
      <c r="D67" s="9">
        <f t="shared" si="18"/>
        <v>-127</v>
      </c>
      <c r="E67" s="9">
        <f t="shared" si="18"/>
        <v>163</v>
      </c>
      <c r="F67" s="9">
        <f t="shared" si="18"/>
        <v>-329</v>
      </c>
      <c r="G67" s="9">
        <f t="shared" si="18"/>
        <v>438</v>
      </c>
      <c r="H67" s="30">
        <f t="shared" si="18"/>
        <v>0</v>
      </c>
      <c r="I67" s="9">
        <f t="shared" si="18"/>
        <v>2227</v>
      </c>
      <c r="J67" s="9">
        <f t="shared" si="18"/>
        <v>-1340</v>
      </c>
      <c r="K67" s="48"/>
      <c r="L67" s="158"/>
    </row>
    <row r="68" spans="1:18" ht="12.75" customHeight="1" x14ac:dyDescent="0.25"/>
    <row r="69" spans="1:18" ht="12.75" customHeight="1" x14ac:dyDescent="0.25">
      <c r="C69" s="332"/>
      <c r="D69" s="333"/>
      <c r="E69" s="333"/>
      <c r="F69" s="333"/>
      <c r="G69" s="333"/>
      <c r="H69" s="334"/>
    </row>
    <row r="70" spans="1:18" ht="20" x14ac:dyDescent="0.25">
      <c r="C70" s="25"/>
      <c r="D70" s="367" t="s">
        <v>147</v>
      </c>
      <c r="E70" s="367"/>
      <c r="F70" s="367"/>
      <c r="H70" s="337"/>
    </row>
    <row r="71" spans="1:18" ht="12.75" customHeight="1" x14ac:dyDescent="0.25">
      <c r="C71" s="86"/>
      <c r="D71" s="4"/>
      <c r="E71" s="4"/>
      <c r="F71" s="4"/>
      <c r="G71" s="4"/>
      <c r="H71" s="97"/>
    </row>
    <row r="72" spans="1:18" ht="12.75" customHeight="1" x14ac:dyDescent="0.25"/>
    <row r="73" spans="1:18" ht="12.75" customHeight="1" x14ac:dyDescent="0.3">
      <c r="A73" s="1" t="s">
        <v>0</v>
      </c>
      <c r="B73" s="2" t="s">
        <v>1</v>
      </c>
      <c r="C73" s="2" t="s">
        <v>2</v>
      </c>
      <c r="D73" s="2" t="s">
        <v>3</v>
      </c>
      <c r="E73" s="2" t="s">
        <v>4</v>
      </c>
      <c r="F73" s="2" t="s">
        <v>5</v>
      </c>
      <c r="G73" s="2" t="s">
        <v>6</v>
      </c>
      <c r="H73" s="32" t="s">
        <v>7</v>
      </c>
      <c r="I73" s="1" t="s">
        <v>8</v>
      </c>
      <c r="J73" s="2" t="s">
        <v>10</v>
      </c>
      <c r="K73" s="2" t="s">
        <v>1</v>
      </c>
      <c r="L73" s="2" t="s">
        <v>9</v>
      </c>
      <c r="N73" s="163" t="s">
        <v>129</v>
      </c>
      <c r="O73" s="163" t="s">
        <v>130</v>
      </c>
      <c r="Q73" s="163" t="s">
        <v>129</v>
      </c>
      <c r="R73" s="163" t="s">
        <v>130</v>
      </c>
    </row>
    <row r="74" spans="1:18" ht="12.75" customHeight="1" x14ac:dyDescent="0.3">
      <c r="A74" t="s">
        <v>11</v>
      </c>
      <c r="B74" s="10">
        <v>2593</v>
      </c>
      <c r="C74" s="10">
        <v>1787</v>
      </c>
      <c r="D74" s="10">
        <v>74</v>
      </c>
      <c r="E74" s="10">
        <v>0</v>
      </c>
      <c r="F74" s="10">
        <v>28</v>
      </c>
      <c r="G74" s="10">
        <v>40</v>
      </c>
      <c r="H74" s="31">
        <v>0</v>
      </c>
      <c r="I74" s="10">
        <f>SUM(C74:G74)</f>
        <v>1929</v>
      </c>
      <c r="J74" s="10">
        <f>(D74*12+F74*8)</f>
        <v>1112</v>
      </c>
      <c r="K74" s="285">
        <f>N74/Q74</f>
        <v>-0.17786937222574509</v>
      </c>
      <c r="L74" s="286">
        <f>O74/R74</f>
        <v>-0.17139175257731959</v>
      </c>
      <c r="N74" s="143">
        <f>B74-Q74</f>
        <v>-561</v>
      </c>
      <c r="O74" s="143">
        <f>I74-R74</f>
        <v>-399</v>
      </c>
      <c r="Q74" s="12">
        <v>3154</v>
      </c>
      <c r="R74" s="12">
        <v>2328</v>
      </c>
    </row>
    <row r="75" spans="1:18" ht="12.75" customHeight="1" x14ac:dyDescent="0.3">
      <c r="A75" t="s">
        <v>12</v>
      </c>
      <c r="B75" s="10">
        <v>2510</v>
      </c>
      <c r="C75" s="10">
        <v>1702</v>
      </c>
      <c r="D75" s="10">
        <v>66</v>
      </c>
      <c r="E75" s="10">
        <v>0</v>
      </c>
      <c r="F75" s="10">
        <v>62</v>
      </c>
      <c r="G75" s="10">
        <v>47</v>
      </c>
      <c r="H75" s="31">
        <v>0</v>
      </c>
      <c r="I75" s="10">
        <f t="shared" ref="I75:I85" si="19">SUM(C75:G75)</f>
        <v>1877</v>
      </c>
      <c r="J75" s="10">
        <f t="shared" ref="J75:J78" si="20">(D75*12+F75*8)</f>
        <v>1288</v>
      </c>
      <c r="K75" s="285">
        <f>N75/Q75</f>
        <v>3.3772652388797363E-2</v>
      </c>
      <c r="L75" s="287">
        <f t="shared" ref="L75:L86" si="21">O75/R75</f>
        <v>7.7497129735935699E-2</v>
      </c>
      <c r="N75" s="143">
        <f t="shared" ref="N75:N78" si="22">B75-Q75</f>
        <v>82</v>
      </c>
      <c r="O75" s="143">
        <f t="shared" ref="O75:O85" si="23">I75-R75</f>
        <v>135</v>
      </c>
      <c r="Q75" s="12">
        <v>2428</v>
      </c>
      <c r="R75" s="12">
        <v>1742</v>
      </c>
    </row>
    <row r="76" spans="1:18" ht="12.75" customHeight="1" x14ac:dyDescent="0.3">
      <c r="A76" t="s">
        <v>13</v>
      </c>
      <c r="B76" s="10">
        <v>2595</v>
      </c>
      <c r="C76" s="10">
        <v>1710</v>
      </c>
      <c r="D76" s="10">
        <v>87</v>
      </c>
      <c r="E76" s="10">
        <v>0</v>
      </c>
      <c r="F76" s="10">
        <v>71</v>
      </c>
      <c r="G76" s="10">
        <v>88</v>
      </c>
      <c r="H76" s="31">
        <v>0</v>
      </c>
      <c r="I76" s="10">
        <f t="shared" si="19"/>
        <v>1956</v>
      </c>
      <c r="J76" s="10">
        <f t="shared" si="20"/>
        <v>1612</v>
      </c>
      <c r="K76" s="285">
        <f>N76/Q76</f>
        <v>-0.22305389221556887</v>
      </c>
      <c r="L76" s="287">
        <f t="shared" si="21"/>
        <v>-0.1774600504625736</v>
      </c>
      <c r="N76" s="143">
        <f t="shared" si="22"/>
        <v>-745</v>
      </c>
      <c r="O76" s="143">
        <f t="shared" si="23"/>
        <v>-422</v>
      </c>
      <c r="Q76" s="12">
        <v>3340</v>
      </c>
      <c r="R76" s="12">
        <v>2378</v>
      </c>
    </row>
    <row r="77" spans="1:18" ht="12.75" customHeight="1" x14ac:dyDescent="0.3">
      <c r="A77" t="s">
        <v>14</v>
      </c>
      <c r="B77" s="10">
        <v>3437</v>
      </c>
      <c r="C77" s="10">
        <v>2136</v>
      </c>
      <c r="D77" s="10">
        <v>160</v>
      </c>
      <c r="E77" s="10">
        <v>0</v>
      </c>
      <c r="F77" s="10">
        <v>184</v>
      </c>
      <c r="G77" s="10">
        <v>121</v>
      </c>
      <c r="H77" s="31">
        <v>0</v>
      </c>
      <c r="I77" s="10">
        <f t="shared" si="19"/>
        <v>2601</v>
      </c>
      <c r="J77" s="10">
        <f t="shared" si="20"/>
        <v>3392</v>
      </c>
      <c r="K77" s="285">
        <f>N77/Q77</f>
        <v>-0.57910849865295122</v>
      </c>
      <c r="L77" s="287">
        <f t="shared" si="21"/>
        <v>-0.53219424460431652</v>
      </c>
      <c r="N77" s="143">
        <f t="shared" si="22"/>
        <v>-4729</v>
      </c>
      <c r="O77" s="143">
        <f t="shared" si="23"/>
        <v>-2959</v>
      </c>
      <c r="Q77" s="12">
        <v>8166</v>
      </c>
      <c r="R77" s="12">
        <v>5560</v>
      </c>
    </row>
    <row r="78" spans="1:18" ht="12.75" customHeight="1" x14ac:dyDescent="0.3">
      <c r="A78" t="s">
        <v>15</v>
      </c>
      <c r="B78" s="10">
        <v>3826</v>
      </c>
      <c r="C78" s="10">
        <v>2462</v>
      </c>
      <c r="D78" s="10">
        <v>157</v>
      </c>
      <c r="E78" s="10">
        <v>0</v>
      </c>
      <c r="F78" s="10">
        <v>134</v>
      </c>
      <c r="G78" s="10">
        <v>140</v>
      </c>
      <c r="H78" s="31">
        <v>0</v>
      </c>
      <c r="I78" s="10">
        <f t="shared" si="19"/>
        <v>2893</v>
      </c>
      <c r="J78" s="10">
        <f t="shared" si="20"/>
        <v>2956</v>
      </c>
      <c r="K78" s="285">
        <f t="shared" ref="K78:K86" si="24">N78/Q78</f>
        <v>-0.18107876712328766</v>
      </c>
      <c r="L78" s="287">
        <f t="shared" si="21"/>
        <v>-0.10599505562422744</v>
      </c>
      <c r="N78" s="143">
        <f t="shared" si="22"/>
        <v>-846</v>
      </c>
      <c r="O78" s="143">
        <f t="shared" si="23"/>
        <v>-343</v>
      </c>
      <c r="Q78" s="12">
        <v>4672</v>
      </c>
      <c r="R78" s="12">
        <v>3236</v>
      </c>
    </row>
    <row r="79" spans="1:18" ht="12.75" customHeight="1" x14ac:dyDescent="0.3">
      <c r="A79" t="s">
        <v>16</v>
      </c>
      <c r="B79" s="10">
        <v>4798</v>
      </c>
      <c r="C79" s="10">
        <v>2989</v>
      </c>
      <c r="D79" s="10">
        <v>140</v>
      </c>
      <c r="E79" s="10">
        <v>3</v>
      </c>
      <c r="F79" s="10">
        <v>120</v>
      </c>
      <c r="G79" s="10">
        <v>294</v>
      </c>
      <c r="H79" s="31">
        <v>0</v>
      </c>
      <c r="I79" s="10">
        <f t="shared" si="19"/>
        <v>3546</v>
      </c>
      <c r="J79" s="10">
        <f>(D79*12+F79*8)</f>
        <v>2640</v>
      </c>
      <c r="K79" s="285">
        <f t="shared" si="24"/>
        <v>-0.15409026798307476</v>
      </c>
      <c r="L79" s="287">
        <f t="shared" si="21"/>
        <v>-5.5659121171770971E-2</v>
      </c>
      <c r="N79" s="143">
        <f>B79-Q79</f>
        <v>-874</v>
      </c>
      <c r="O79" s="143">
        <f t="shared" si="23"/>
        <v>-209</v>
      </c>
      <c r="Q79" s="12">
        <v>5672</v>
      </c>
      <c r="R79" s="12">
        <v>3755</v>
      </c>
    </row>
    <row r="80" spans="1:18" ht="12.75" customHeight="1" x14ac:dyDescent="0.3">
      <c r="A80" t="s">
        <v>17</v>
      </c>
      <c r="B80" s="10">
        <v>7209</v>
      </c>
      <c r="C80" s="10">
        <v>4792</v>
      </c>
      <c r="D80" s="10">
        <v>132</v>
      </c>
      <c r="E80" s="10">
        <v>3</v>
      </c>
      <c r="F80" s="10">
        <v>96</v>
      </c>
      <c r="G80" s="10">
        <v>784</v>
      </c>
      <c r="H80" s="31">
        <v>0</v>
      </c>
      <c r="I80" s="10">
        <f t="shared" si="19"/>
        <v>5807</v>
      </c>
      <c r="J80" s="10">
        <f>(D80*12+F80*8)</f>
        <v>2352</v>
      </c>
      <c r="K80" s="285">
        <f t="shared" si="24"/>
        <v>-0.17602011658475256</v>
      </c>
      <c r="L80" s="287">
        <f t="shared" si="21"/>
        <v>2.3259911894273129E-2</v>
      </c>
      <c r="N80" s="143">
        <f>B80-Q80</f>
        <v>-1540</v>
      </c>
      <c r="O80" s="143">
        <f t="shared" si="23"/>
        <v>132</v>
      </c>
      <c r="Q80" s="12">
        <v>8749</v>
      </c>
      <c r="R80" s="12">
        <v>5675</v>
      </c>
    </row>
    <row r="81" spans="1:18" ht="12.75" customHeight="1" x14ac:dyDescent="0.3">
      <c r="A81" t="s">
        <v>18</v>
      </c>
      <c r="B81" s="10"/>
      <c r="C81" s="10"/>
      <c r="D81" s="10"/>
      <c r="E81" s="10"/>
      <c r="F81" s="10"/>
      <c r="G81" s="10"/>
      <c r="H81" s="31"/>
      <c r="I81" s="10">
        <f t="shared" si="19"/>
        <v>0</v>
      </c>
      <c r="J81" s="10">
        <f t="shared" ref="J81:J85" si="25">(D81*12+F81*8)</f>
        <v>0</v>
      </c>
      <c r="K81" s="285">
        <f t="shared" si="24"/>
        <v>-1</v>
      </c>
      <c r="L81" s="287">
        <f t="shared" si="21"/>
        <v>-1</v>
      </c>
      <c r="N81" s="143">
        <f t="shared" ref="N81:N85" si="26">B81-Q81</f>
        <v>-6088</v>
      </c>
      <c r="O81" s="143">
        <f t="shared" si="23"/>
        <v>-4077</v>
      </c>
      <c r="Q81" s="12">
        <v>6088</v>
      </c>
      <c r="R81" s="12">
        <v>4077</v>
      </c>
    </row>
    <row r="82" spans="1:18" ht="12.75" customHeight="1" x14ac:dyDescent="0.3">
      <c r="A82" t="s">
        <v>19</v>
      </c>
      <c r="B82" s="10"/>
      <c r="C82" s="10"/>
      <c r="D82" s="10"/>
      <c r="E82" s="10"/>
      <c r="F82" s="10"/>
      <c r="G82" s="10"/>
      <c r="H82" s="31"/>
      <c r="I82" s="10">
        <f t="shared" si="19"/>
        <v>0</v>
      </c>
      <c r="J82" s="10">
        <f t="shared" si="25"/>
        <v>0</v>
      </c>
      <c r="K82" s="285">
        <f t="shared" si="24"/>
        <v>-1</v>
      </c>
      <c r="L82" s="287">
        <f t="shared" si="21"/>
        <v>-1</v>
      </c>
      <c r="N82" s="143">
        <f t="shared" si="26"/>
        <v>-3857</v>
      </c>
      <c r="O82" s="143">
        <f t="shared" si="23"/>
        <v>-2659</v>
      </c>
      <c r="Q82" s="12">
        <v>3857</v>
      </c>
      <c r="R82" s="12">
        <v>2659</v>
      </c>
    </row>
    <row r="83" spans="1:18" ht="12.75" customHeight="1" x14ac:dyDescent="0.3">
      <c r="A83" t="s">
        <v>20</v>
      </c>
      <c r="B83" s="10"/>
      <c r="C83" s="10"/>
      <c r="D83" s="10"/>
      <c r="E83" s="10"/>
      <c r="F83" s="10"/>
      <c r="G83" s="10"/>
      <c r="H83" s="31"/>
      <c r="I83" s="10">
        <f t="shared" si="19"/>
        <v>0</v>
      </c>
      <c r="J83" s="10">
        <f t="shared" si="25"/>
        <v>0</v>
      </c>
      <c r="K83" s="285">
        <f t="shared" si="24"/>
        <v>-1</v>
      </c>
      <c r="L83" s="287">
        <f t="shared" si="21"/>
        <v>-1</v>
      </c>
      <c r="N83" s="143">
        <f t="shared" si="26"/>
        <v>-3648</v>
      </c>
      <c r="O83" s="143">
        <f t="shared" si="23"/>
        <v>-2630</v>
      </c>
      <c r="Q83" s="12">
        <v>3648</v>
      </c>
      <c r="R83" s="12">
        <v>2630</v>
      </c>
    </row>
    <row r="84" spans="1:18" ht="12.75" customHeight="1" x14ac:dyDescent="0.3">
      <c r="A84" t="s">
        <v>21</v>
      </c>
      <c r="B84" s="10"/>
      <c r="C84" s="10"/>
      <c r="D84" s="10"/>
      <c r="E84" s="10"/>
      <c r="F84" s="10"/>
      <c r="G84" s="10"/>
      <c r="H84" s="31"/>
      <c r="I84" s="10">
        <f t="shared" si="19"/>
        <v>0</v>
      </c>
      <c r="J84" s="10">
        <f t="shared" si="25"/>
        <v>0</v>
      </c>
      <c r="K84" s="285">
        <f t="shared" si="24"/>
        <v>-1</v>
      </c>
      <c r="L84" s="287">
        <f t="shared" si="21"/>
        <v>-1</v>
      </c>
      <c r="N84" s="143">
        <f t="shared" si="26"/>
        <v>-3244</v>
      </c>
      <c r="O84" s="143">
        <f t="shared" si="23"/>
        <v>-2374</v>
      </c>
      <c r="Q84" s="12">
        <v>3244</v>
      </c>
      <c r="R84" s="12">
        <v>2374</v>
      </c>
    </row>
    <row r="85" spans="1:18" ht="12.75" customHeight="1" x14ac:dyDescent="0.3">
      <c r="A85" s="4" t="s">
        <v>22</v>
      </c>
      <c r="B85" s="11"/>
      <c r="C85" s="11"/>
      <c r="D85" s="11"/>
      <c r="E85" s="11"/>
      <c r="F85" s="11"/>
      <c r="G85" s="11"/>
      <c r="H85" s="30"/>
      <c r="I85" s="11">
        <f t="shared" si="19"/>
        <v>0</v>
      </c>
      <c r="J85" s="11">
        <f t="shared" si="25"/>
        <v>0</v>
      </c>
      <c r="K85" s="288">
        <f t="shared" si="24"/>
        <v>-1</v>
      </c>
      <c r="L85" s="289">
        <f t="shared" si="21"/>
        <v>-1</v>
      </c>
      <c r="N85" s="169">
        <f t="shared" si="26"/>
        <v>-2981</v>
      </c>
      <c r="O85" s="169">
        <f t="shared" si="23"/>
        <v>-2187</v>
      </c>
      <c r="Q85" s="20">
        <v>2981</v>
      </c>
      <c r="R85" s="20">
        <v>2187</v>
      </c>
    </row>
    <row r="86" spans="1:18" ht="12.75" customHeight="1" x14ac:dyDescent="0.3">
      <c r="A86" s="3" t="s">
        <v>137</v>
      </c>
      <c r="B86" s="8">
        <f t="shared" ref="B86:J86" si="27">SUM(B74:B85)</f>
        <v>26968</v>
      </c>
      <c r="C86" s="8">
        <f t="shared" si="27"/>
        <v>17578</v>
      </c>
      <c r="D86" s="8">
        <f t="shared" si="27"/>
        <v>816</v>
      </c>
      <c r="E86" s="8">
        <f t="shared" si="27"/>
        <v>6</v>
      </c>
      <c r="F86" s="8">
        <f t="shared" si="27"/>
        <v>695</v>
      </c>
      <c r="G86" s="8">
        <f t="shared" si="27"/>
        <v>1514</v>
      </c>
      <c r="H86" s="31">
        <f t="shared" si="27"/>
        <v>0</v>
      </c>
      <c r="I86" s="8">
        <f t="shared" si="27"/>
        <v>20609</v>
      </c>
      <c r="J86" s="8">
        <f t="shared" si="27"/>
        <v>15352</v>
      </c>
      <c r="K86" s="290">
        <f t="shared" si="24"/>
        <v>-0.51841997178521049</v>
      </c>
      <c r="L86" s="187">
        <f t="shared" si="21"/>
        <v>-0.46610191445817467</v>
      </c>
      <c r="N86" s="143">
        <f>SUM(N74:N85)</f>
        <v>-29031</v>
      </c>
      <c r="O86" s="143">
        <f>SUM(O74:O85)</f>
        <v>-17992</v>
      </c>
      <c r="Q86" s="12">
        <f>SUM(Q74:Q85)</f>
        <v>55999</v>
      </c>
      <c r="R86" s="12">
        <f>SUM(R74:R85)</f>
        <v>38601</v>
      </c>
    </row>
    <row r="87" spans="1:18" ht="12.75" customHeight="1" x14ac:dyDescent="0.3">
      <c r="A87" s="5" t="s">
        <v>131</v>
      </c>
      <c r="B87" s="9">
        <v>55999</v>
      </c>
      <c r="C87" s="9">
        <v>33427</v>
      </c>
      <c r="D87" s="9">
        <v>1281</v>
      </c>
      <c r="E87" s="9">
        <v>165</v>
      </c>
      <c r="F87" s="9">
        <v>842</v>
      </c>
      <c r="G87" s="9">
        <v>2886</v>
      </c>
      <c r="H87" s="9">
        <v>0</v>
      </c>
      <c r="I87" s="9">
        <v>38601</v>
      </c>
      <c r="J87" s="9">
        <v>22108</v>
      </c>
      <c r="K87" s="293">
        <v>-5.134577082610046E-3</v>
      </c>
      <c r="L87" s="294">
        <v>-1.8484949064263283E-2</v>
      </c>
    </row>
    <row r="88" spans="1:18" ht="12.75" customHeight="1" x14ac:dyDescent="0.3">
      <c r="A88" s="5" t="s">
        <v>23</v>
      </c>
      <c r="B88" s="9">
        <f t="shared" ref="B88:J88" si="28">B86-B87</f>
        <v>-29031</v>
      </c>
      <c r="C88" s="9">
        <f t="shared" si="28"/>
        <v>-15849</v>
      </c>
      <c r="D88" s="9">
        <f t="shared" si="28"/>
        <v>-465</v>
      </c>
      <c r="E88" s="9">
        <f t="shared" si="28"/>
        <v>-159</v>
      </c>
      <c r="F88" s="9">
        <f t="shared" si="28"/>
        <v>-147</v>
      </c>
      <c r="G88" s="9">
        <f t="shared" si="28"/>
        <v>-1372</v>
      </c>
      <c r="H88" s="30">
        <f t="shared" si="28"/>
        <v>0</v>
      </c>
      <c r="I88" s="9">
        <f t="shared" si="28"/>
        <v>-17992</v>
      </c>
      <c r="J88" s="9">
        <f t="shared" si="28"/>
        <v>-6756</v>
      </c>
      <c r="K88" s="48"/>
      <c r="L88" s="158"/>
    </row>
    <row r="89" spans="1:18" ht="12.75" customHeight="1" x14ac:dyDescent="0.25"/>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B4B35-FC14-4E53-AB94-62BDE1BCCCF5}">
  <dimension ref="A6:X90"/>
  <sheetViews>
    <sheetView topLeftCell="A47" workbookViewId="0">
      <selection activeCell="K66" sqref="K66"/>
    </sheetView>
  </sheetViews>
  <sheetFormatPr defaultRowHeight="12.5" x14ac:dyDescent="0.25"/>
  <sheetData>
    <row r="6" spans="1:24" ht="13" x14ac:dyDescent="0.3">
      <c r="A6" s="1" t="s">
        <v>0</v>
      </c>
      <c r="B6" s="2" t="s">
        <v>1</v>
      </c>
      <c r="C6" s="2" t="s">
        <v>2</v>
      </c>
      <c r="D6" s="73" t="s">
        <v>52</v>
      </c>
      <c r="E6" s="73" t="s">
        <v>53</v>
      </c>
      <c r="F6" s="2" t="s">
        <v>3</v>
      </c>
      <c r="G6" s="2" t="s">
        <v>4</v>
      </c>
      <c r="H6" s="73" t="s">
        <v>5</v>
      </c>
      <c r="I6" s="73" t="s">
        <v>49</v>
      </c>
      <c r="J6" s="73" t="s">
        <v>46</v>
      </c>
      <c r="K6" s="131" t="s">
        <v>48</v>
      </c>
      <c r="L6" s="35" t="s">
        <v>47</v>
      </c>
      <c r="M6" s="2" t="s">
        <v>6</v>
      </c>
      <c r="N6" s="32" t="s">
        <v>7</v>
      </c>
      <c r="O6" s="1" t="s">
        <v>8</v>
      </c>
      <c r="P6" s="2" t="s">
        <v>10</v>
      </c>
      <c r="Q6" s="2" t="s">
        <v>1</v>
      </c>
      <c r="R6" s="2" t="s">
        <v>9</v>
      </c>
      <c r="T6" s="163" t="s">
        <v>94</v>
      </c>
      <c r="U6" s="163" t="s">
        <v>95</v>
      </c>
      <c r="V6" s="164"/>
      <c r="W6" s="163" t="s">
        <v>87</v>
      </c>
      <c r="X6" s="163" t="s">
        <v>88</v>
      </c>
    </row>
    <row r="7" spans="1:24" ht="13" x14ac:dyDescent="0.3">
      <c r="A7" t="s">
        <v>11</v>
      </c>
      <c r="B7" s="10">
        <v>680</v>
      </c>
      <c r="C7" s="10">
        <v>346</v>
      </c>
      <c r="D7" s="10">
        <v>0</v>
      </c>
      <c r="E7" s="10">
        <v>0</v>
      </c>
      <c r="F7" s="10">
        <v>6</v>
      </c>
      <c r="G7" s="10">
        <v>2</v>
      </c>
      <c r="H7" s="10">
        <v>2</v>
      </c>
      <c r="I7" s="10">
        <v>0</v>
      </c>
      <c r="J7" s="10">
        <v>0</v>
      </c>
      <c r="K7" s="10">
        <v>0</v>
      </c>
      <c r="L7" s="10">
        <v>0</v>
      </c>
      <c r="M7" s="10">
        <v>5</v>
      </c>
      <c r="N7" s="31">
        <v>0</v>
      </c>
      <c r="O7" s="10">
        <f>SUM(C7:M7)</f>
        <v>361</v>
      </c>
      <c r="P7" s="10"/>
      <c r="Q7" s="188">
        <f t="shared" ref="Q7:Q18" si="0">T7/W7</f>
        <v>1.9490254872563718E-2</v>
      </c>
      <c r="R7" s="179">
        <v>-0.10864197530864197</v>
      </c>
      <c r="S7" s="22"/>
      <c r="T7" s="143">
        <v>13</v>
      </c>
      <c r="U7" s="143">
        <v>-44</v>
      </c>
      <c r="W7" s="12">
        <v>667</v>
      </c>
      <c r="X7" s="12">
        <v>405</v>
      </c>
    </row>
    <row r="8" spans="1:24" ht="13" x14ac:dyDescent="0.3">
      <c r="A8" t="s">
        <v>12</v>
      </c>
      <c r="B8" s="10">
        <v>692</v>
      </c>
      <c r="C8" s="10">
        <v>405</v>
      </c>
      <c r="D8" s="10">
        <v>4</v>
      </c>
      <c r="E8" s="10">
        <v>0</v>
      </c>
      <c r="F8" s="10">
        <v>1</v>
      </c>
      <c r="G8" s="10">
        <v>0</v>
      </c>
      <c r="H8" s="10">
        <v>2</v>
      </c>
      <c r="I8" s="10">
        <v>0</v>
      </c>
      <c r="J8" s="10">
        <v>0</v>
      </c>
      <c r="K8" s="10">
        <v>0</v>
      </c>
      <c r="L8" s="10">
        <v>0</v>
      </c>
      <c r="M8" s="10">
        <v>6</v>
      </c>
      <c r="N8" s="31">
        <v>0</v>
      </c>
      <c r="O8" s="10">
        <f t="shared" ref="O8:O18" si="1">SUM(C8:M8)</f>
        <v>418</v>
      </c>
      <c r="P8" s="10"/>
      <c r="Q8" s="188">
        <f t="shared" si="0"/>
        <v>-2.1216407355021217E-2</v>
      </c>
      <c r="R8" s="181">
        <v>9.6618357487922701E-3</v>
      </c>
      <c r="S8" s="22"/>
      <c r="T8" s="143">
        <v>-15</v>
      </c>
      <c r="U8" s="143">
        <v>4</v>
      </c>
      <c r="W8" s="12">
        <v>707</v>
      </c>
      <c r="X8" s="12">
        <v>414</v>
      </c>
    </row>
    <row r="9" spans="1:24" ht="13" x14ac:dyDescent="0.3">
      <c r="A9" t="s">
        <v>13</v>
      </c>
      <c r="B9" s="10">
        <v>905</v>
      </c>
      <c r="C9" s="10">
        <v>514</v>
      </c>
      <c r="D9" s="10">
        <v>0</v>
      </c>
      <c r="E9" s="10">
        <v>0</v>
      </c>
      <c r="F9" s="10">
        <v>14</v>
      </c>
      <c r="G9" s="10">
        <v>1</v>
      </c>
      <c r="H9" s="10">
        <v>5</v>
      </c>
      <c r="I9" s="10">
        <v>0</v>
      </c>
      <c r="J9" s="10">
        <v>0</v>
      </c>
      <c r="K9" s="10">
        <v>0</v>
      </c>
      <c r="L9" s="10">
        <v>4</v>
      </c>
      <c r="M9" s="10">
        <v>3</v>
      </c>
      <c r="N9" s="31">
        <v>0</v>
      </c>
      <c r="O9" s="10">
        <f t="shared" si="1"/>
        <v>541</v>
      </c>
      <c r="P9" s="10">
        <v>124</v>
      </c>
      <c r="Q9" s="188">
        <f t="shared" si="0"/>
        <v>2.6077097505668934E-2</v>
      </c>
      <c r="R9" s="181">
        <v>0.10633946830265849</v>
      </c>
      <c r="S9" s="22"/>
      <c r="T9" s="143">
        <v>23</v>
      </c>
      <c r="U9" s="143">
        <v>52</v>
      </c>
      <c r="W9" s="12">
        <v>882</v>
      </c>
      <c r="X9" s="12">
        <v>489</v>
      </c>
    </row>
    <row r="10" spans="1:24" ht="13" x14ac:dyDescent="0.3">
      <c r="A10" t="s">
        <v>14</v>
      </c>
      <c r="B10" s="10">
        <v>778</v>
      </c>
      <c r="C10" s="10">
        <v>454</v>
      </c>
      <c r="D10" s="10">
        <v>4</v>
      </c>
      <c r="E10" s="10">
        <v>0</v>
      </c>
      <c r="F10" s="10">
        <v>9</v>
      </c>
      <c r="G10" s="10">
        <v>0</v>
      </c>
      <c r="H10" s="10">
        <v>2</v>
      </c>
      <c r="I10" s="10">
        <v>0</v>
      </c>
      <c r="J10" s="10">
        <v>1</v>
      </c>
      <c r="K10" s="10">
        <v>0</v>
      </c>
      <c r="L10" s="10">
        <v>0</v>
      </c>
      <c r="M10" s="10">
        <v>1</v>
      </c>
      <c r="N10" s="31">
        <v>0</v>
      </c>
      <c r="O10" s="10">
        <f t="shared" si="1"/>
        <v>471</v>
      </c>
      <c r="P10" s="10">
        <v>60</v>
      </c>
      <c r="Q10" s="188">
        <f t="shared" si="0"/>
        <v>-5.0061050061050064E-2</v>
      </c>
      <c r="R10" s="181">
        <v>-2.2821576763485476E-2</v>
      </c>
      <c r="S10" s="22"/>
      <c r="T10" s="143">
        <v>-41</v>
      </c>
      <c r="U10" s="143">
        <v>-11</v>
      </c>
      <c r="W10" s="12">
        <v>819</v>
      </c>
      <c r="X10" s="12">
        <v>482</v>
      </c>
    </row>
    <row r="11" spans="1:24" ht="13" x14ac:dyDescent="0.3">
      <c r="A11" t="s">
        <v>15</v>
      </c>
      <c r="B11" s="10">
        <v>967</v>
      </c>
      <c r="C11" s="10">
        <v>476</v>
      </c>
      <c r="D11" s="10">
        <v>4</v>
      </c>
      <c r="E11" s="10">
        <v>0</v>
      </c>
      <c r="F11" s="10">
        <v>26</v>
      </c>
      <c r="G11" s="10">
        <v>0</v>
      </c>
      <c r="H11" s="10">
        <v>27</v>
      </c>
      <c r="I11" s="10">
        <v>0</v>
      </c>
      <c r="J11" s="10">
        <v>0</v>
      </c>
      <c r="K11" s="10">
        <v>4</v>
      </c>
      <c r="L11" s="10">
        <v>5</v>
      </c>
      <c r="M11" s="10">
        <v>4</v>
      </c>
      <c r="N11" s="31">
        <v>0</v>
      </c>
      <c r="O11" s="10">
        <f t="shared" si="1"/>
        <v>546</v>
      </c>
      <c r="P11" s="10">
        <v>162</v>
      </c>
      <c r="Q11" s="188">
        <f t="shared" si="0"/>
        <v>0.21177944862155387</v>
      </c>
      <c r="R11" s="181">
        <v>6.8493150684931503E-2</v>
      </c>
      <c r="S11" s="22"/>
      <c r="T11" s="143">
        <v>169</v>
      </c>
      <c r="U11" s="143">
        <v>35</v>
      </c>
      <c r="W11" s="12">
        <v>798</v>
      </c>
      <c r="X11" s="12">
        <v>511</v>
      </c>
    </row>
    <row r="12" spans="1:24" ht="13" x14ac:dyDescent="0.3">
      <c r="A12" t="s">
        <v>16</v>
      </c>
      <c r="B12" s="10">
        <v>680</v>
      </c>
      <c r="C12" s="10">
        <v>390</v>
      </c>
      <c r="D12" s="10">
        <v>5</v>
      </c>
      <c r="E12" s="10">
        <v>1</v>
      </c>
      <c r="F12" s="10">
        <v>23</v>
      </c>
      <c r="G12" s="10">
        <v>0</v>
      </c>
      <c r="H12" s="10">
        <v>14</v>
      </c>
      <c r="I12" s="10">
        <v>0</v>
      </c>
      <c r="J12" s="10">
        <v>2</v>
      </c>
      <c r="K12" s="10">
        <v>24</v>
      </c>
      <c r="L12" s="10">
        <v>11</v>
      </c>
      <c r="M12" s="10">
        <v>5</v>
      </c>
      <c r="N12" s="31">
        <v>0</v>
      </c>
      <c r="O12" s="10">
        <f t="shared" si="1"/>
        <v>475</v>
      </c>
      <c r="P12" s="102">
        <v>293</v>
      </c>
      <c r="Q12" s="188">
        <f t="shared" si="0"/>
        <v>8.2802547770700632E-2</v>
      </c>
      <c r="R12" s="181">
        <v>0.18159203980099503</v>
      </c>
      <c r="S12" s="22"/>
      <c r="T12" s="143">
        <v>52</v>
      </c>
      <c r="U12" s="143">
        <v>73</v>
      </c>
      <c r="W12" s="12">
        <v>628</v>
      </c>
      <c r="X12" s="12">
        <v>402</v>
      </c>
    </row>
    <row r="13" spans="1:24" ht="13" x14ac:dyDescent="0.3">
      <c r="A13" t="s">
        <v>17</v>
      </c>
      <c r="B13" s="10">
        <v>667</v>
      </c>
      <c r="C13" s="10">
        <v>298</v>
      </c>
      <c r="D13" s="10">
        <v>3</v>
      </c>
      <c r="E13" s="10">
        <v>1</v>
      </c>
      <c r="F13" s="10">
        <v>65</v>
      </c>
      <c r="G13" s="10">
        <v>0</v>
      </c>
      <c r="H13" s="10">
        <v>12</v>
      </c>
      <c r="I13" s="10">
        <v>0</v>
      </c>
      <c r="J13" s="10">
        <v>2</v>
      </c>
      <c r="K13" s="10">
        <v>45</v>
      </c>
      <c r="L13" s="10">
        <v>1</v>
      </c>
      <c r="M13" s="10">
        <v>3</v>
      </c>
      <c r="N13" s="31">
        <v>0</v>
      </c>
      <c r="O13" s="10">
        <f t="shared" si="1"/>
        <v>430</v>
      </c>
      <c r="P13" s="10">
        <v>590</v>
      </c>
      <c r="Q13" s="188">
        <f t="shared" si="0"/>
        <v>6.2101910828025478E-2</v>
      </c>
      <c r="R13" s="181">
        <v>-2.2727272727272728E-2</v>
      </c>
      <c r="S13" s="22"/>
      <c r="T13" s="143">
        <v>39</v>
      </c>
      <c r="U13" s="143">
        <v>-10</v>
      </c>
      <c r="W13" s="12">
        <v>628</v>
      </c>
      <c r="X13" s="12">
        <v>440</v>
      </c>
    </row>
    <row r="14" spans="1:24" ht="13" x14ac:dyDescent="0.3">
      <c r="A14" t="s">
        <v>18</v>
      </c>
      <c r="B14" s="10">
        <v>756</v>
      </c>
      <c r="C14" s="10">
        <v>368</v>
      </c>
      <c r="D14" s="10">
        <v>5</v>
      </c>
      <c r="E14" s="10">
        <v>1</v>
      </c>
      <c r="F14" s="10">
        <v>34</v>
      </c>
      <c r="G14" s="10">
        <v>0</v>
      </c>
      <c r="H14" s="10">
        <v>17</v>
      </c>
      <c r="I14" s="10">
        <v>0</v>
      </c>
      <c r="J14" s="10">
        <v>0</v>
      </c>
      <c r="K14" s="10">
        <v>27</v>
      </c>
      <c r="L14" s="10">
        <v>2</v>
      </c>
      <c r="M14" s="10">
        <v>5</v>
      </c>
      <c r="N14" s="31">
        <v>0</v>
      </c>
      <c r="O14" s="10">
        <f t="shared" si="1"/>
        <v>459</v>
      </c>
      <c r="P14" s="10">
        <v>368</v>
      </c>
      <c r="Q14" s="188">
        <f t="shared" si="0"/>
        <v>0.12332838038632987</v>
      </c>
      <c r="R14" s="181">
        <v>6.7441860465116285E-2</v>
      </c>
      <c r="S14" s="22"/>
      <c r="T14" s="143">
        <v>83</v>
      </c>
      <c r="U14" s="143">
        <v>29</v>
      </c>
      <c r="W14" s="12">
        <v>673</v>
      </c>
      <c r="X14" s="12">
        <v>430</v>
      </c>
    </row>
    <row r="15" spans="1:24" ht="13" x14ac:dyDescent="0.3">
      <c r="A15" t="s">
        <v>19</v>
      </c>
      <c r="B15" s="10">
        <v>841</v>
      </c>
      <c r="C15" s="10">
        <v>462</v>
      </c>
      <c r="D15" s="10">
        <v>3</v>
      </c>
      <c r="E15" s="10">
        <v>0</v>
      </c>
      <c r="F15" s="10">
        <v>20</v>
      </c>
      <c r="G15" s="10">
        <v>0</v>
      </c>
      <c r="H15" s="10">
        <v>12</v>
      </c>
      <c r="I15" s="10">
        <v>0</v>
      </c>
      <c r="J15" s="10">
        <v>0</v>
      </c>
      <c r="K15" s="10">
        <v>4</v>
      </c>
      <c r="L15" s="10">
        <v>4</v>
      </c>
      <c r="M15" s="10">
        <v>7</v>
      </c>
      <c r="N15" s="31">
        <v>0</v>
      </c>
      <c r="O15" s="10">
        <f t="shared" si="1"/>
        <v>512</v>
      </c>
      <c r="P15" s="10">
        <v>202</v>
      </c>
      <c r="Q15" s="188">
        <f t="shared" si="0"/>
        <v>9.6038415366146452E-3</v>
      </c>
      <c r="R15" s="181">
        <v>2.6052104208416832E-2</v>
      </c>
      <c r="S15" s="22"/>
      <c r="T15" s="143">
        <v>8</v>
      </c>
      <c r="U15" s="143">
        <v>13</v>
      </c>
      <c r="W15" s="12">
        <v>833</v>
      </c>
      <c r="X15" s="12">
        <v>499</v>
      </c>
    </row>
    <row r="16" spans="1:24" ht="13" x14ac:dyDescent="0.3">
      <c r="A16" t="s">
        <v>20</v>
      </c>
      <c r="B16" s="10">
        <v>829</v>
      </c>
      <c r="C16" s="10">
        <v>435</v>
      </c>
      <c r="D16" s="10">
        <v>2</v>
      </c>
      <c r="E16" s="10">
        <v>3</v>
      </c>
      <c r="F16" s="10">
        <v>14</v>
      </c>
      <c r="G16" s="10">
        <v>0</v>
      </c>
      <c r="H16" s="10">
        <v>12</v>
      </c>
      <c r="I16" s="10">
        <v>0</v>
      </c>
      <c r="J16" s="10">
        <v>0</v>
      </c>
      <c r="K16" s="10">
        <v>0</v>
      </c>
      <c r="L16" s="10">
        <v>4</v>
      </c>
      <c r="M16" s="10">
        <v>5</v>
      </c>
      <c r="N16" s="31">
        <v>0</v>
      </c>
      <c r="O16" s="10">
        <f t="shared" si="1"/>
        <v>475</v>
      </c>
      <c r="P16" s="10">
        <v>155</v>
      </c>
      <c r="Q16" s="188">
        <f t="shared" si="0"/>
        <v>9.9469496021220155E-2</v>
      </c>
      <c r="R16" s="181">
        <v>9.1954022988505746E-2</v>
      </c>
      <c r="S16" s="22"/>
      <c r="T16" s="143">
        <v>75</v>
      </c>
      <c r="U16" s="143">
        <v>40</v>
      </c>
      <c r="W16" s="12">
        <v>754</v>
      </c>
      <c r="X16" s="12">
        <v>435</v>
      </c>
    </row>
    <row r="17" spans="1:24" ht="13" x14ac:dyDescent="0.3">
      <c r="A17" t="s">
        <v>21</v>
      </c>
      <c r="B17" s="10">
        <v>975</v>
      </c>
      <c r="C17" s="10">
        <v>488</v>
      </c>
      <c r="D17" s="10">
        <v>0</v>
      </c>
      <c r="E17" s="10">
        <v>2</v>
      </c>
      <c r="F17" s="10">
        <v>10</v>
      </c>
      <c r="G17" s="10">
        <v>0</v>
      </c>
      <c r="H17" s="10">
        <v>3</v>
      </c>
      <c r="I17" s="10">
        <v>0</v>
      </c>
      <c r="J17" s="10">
        <v>0</v>
      </c>
      <c r="K17" s="10">
        <v>0</v>
      </c>
      <c r="L17" s="10">
        <v>4</v>
      </c>
      <c r="M17" s="10">
        <v>9</v>
      </c>
      <c r="N17" s="31">
        <v>3</v>
      </c>
      <c r="O17" s="10">
        <f t="shared" si="1"/>
        <v>516</v>
      </c>
      <c r="P17" s="10">
        <v>110</v>
      </c>
      <c r="Q17" s="188">
        <f t="shared" si="0"/>
        <v>0.21268656716417911</v>
      </c>
      <c r="R17" s="181">
        <v>0.11447084233261338</v>
      </c>
      <c r="S17" s="22"/>
      <c r="T17" s="143">
        <v>171</v>
      </c>
      <c r="U17" s="143">
        <v>53</v>
      </c>
      <c r="W17" s="12">
        <v>804</v>
      </c>
      <c r="X17" s="12">
        <v>463</v>
      </c>
    </row>
    <row r="18" spans="1:24" ht="13" x14ac:dyDescent="0.3">
      <c r="A18" s="4" t="s">
        <v>22</v>
      </c>
      <c r="B18" s="11">
        <v>656</v>
      </c>
      <c r="C18" s="11">
        <v>324</v>
      </c>
      <c r="D18" s="11">
        <v>0</v>
      </c>
      <c r="E18" s="11">
        <v>0</v>
      </c>
      <c r="F18" s="11">
        <v>5</v>
      </c>
      <c r="G18" s="11">
        <v>0</v>
      </c>
      <c r="H18" s="11">
        <v>0</v>
      </c>
      <c r="I18" s="11">
        <v>0</v>
      </c>
      <c r="J18" s="11">
        <v>0</v>
      </c>
      <c r="K18" s="11">
        <v>0</v>
      </c>
      <c r="L18" s="11">
        <v>0</v>
      </c>
      <c r="M18" s="11">
        <v>3</v>
      </c>
      <c r="N18" s="30">
        <v>5</v>
      </c>
      <c r="O18" s="10">
        <f t="shared" si="1"/>
        <v>332</v>
      </c>
      <c r="P18" s="11">
        <v>56</v>
      </c>
      <c r="Q18" s="189">
        <f t="shared" si="0"/>
        <v>1.5479876160990712E-2</v>
      </c>
      <c r="R18" s="184">
        <v>-0.12631578947368421</v>
      </c>
      <c r="S18" s="22"/>
      <c r="T18" s="169">
        <v>10</v>
      </c>
      <c r="U18" s="169">
        <v>-48</v>
      </c>
      <c r="W18" s="20">
        <v>646</v>
      </c>
      <c r="X18" s="12">
        <v>380</v>
      </c>
    </row>
    <row r="19" spans="1:24" ht="13" x14ac:dyDescent="0.3">
      <c r="A19" s="3" t="s">
        <v>93</v>
      </c>
      <c r="B19" s="8">
        <f>SUM(B7:B18)</f>
        <v>9426</v>
      </c>
      <c r="C19" s="8">
        <f t="shared" ref="C19:N19" si="2">SUM(C7:C18)</f>
        <v>4960</v>
      </c>
      <c r="D19" s="8">
        <f t="shared" si="2"/>
        <v>30</v>
      </c>
      <c r="E19" s="8">
        <f t="shared" si="2"/>
        <v>8</v>
      </c>
      <c r="F19" s="8">
        <f t="shared" si="2"/>
        <v>227</v>
      </c>
      <c r="G19" s="8">
        <f t="shared" si="2"/>
        <v>3</v>
      </c>
      <c r="H19" s="8">
        <f t="shared" si="2"/>
        <v>108</v>
      </c>
      <c r="I19" s="8">
        <f t="shared" si="2"/>
        <v>0</v>
      </c>
      <c r="J19" s="8">
        <f t="shared" si="2"/>
        <v>5</v>
      </c>
      <c r="K19" s="8">
        <f t="shared" si="2"/>
        <v>104</v>
      </c>
      <c r="L19" s="8">
        <f t="shared" si="2"/>
        <v>35</v>
      </c>
      <c r="M19" s="8">
        <f t="shared" si="2"/>
        <v>56</v>
      </c>
      <c r="N19" s="8">
        <f t="shared" si="2"/>
        <v>8</v>
      </c>
      <c r="O19" s="8">
        <f>SUM(O7:O18)</f>
        <v>5536</v>
      </c>
      <c r="P19" s="8">
        <f>SUM(P7:P18)</f>
        <v>2120</v>
      </c>
      <c r="Q19" s="186">
        <f>T19/W19</f>
        <v>6.641022740128974E-2</v>
      </c>
      <c r="R19" s="187">
        <v>3.4766355140186916E-2</v>
      </c>
      <c r="S19" s="22"/>
      <c r="T19" s="143">
        <v>587</v>
      </c>
      <c r="U19" s="143">
        <v>186</v>
      </c>
      <c r="W19" s="12">
        <v>8839</v>
      </c>
      <c r="X19" s="12">
        <v>5350</v>
      </c>
    </row>
    <row r="20" spans="1:24" ht="13" x14ac:dyDescent="0.3">
      <c r="A20" s="5" t="s">
        <v>86</v>
      </c>
      <c r="B20" s="9">
        <v>8839</v>
      </c>
      <c r="C20" s="9">
        <v>4781</v>
      </c>
      <c r="D20" s="9">
        <v>16</v>
      </c>
      <c r="E20" s="9">
        <v>3</v>
      </c>
      <c r="F20" s="9">
        <v>171</v>
      </c>
      <c r="G20" s="9">
        <v>3</v>
      </c>
      <c r="H20" s="9">
        <v>67</v>
      </c>
      <c r="I20" s="9">
        <v>0</v>
      </c>
      <c r="J20" s="9">
        <v>1</v>
      </c>
      <c r="K20" s="9">
        <v>143</v>
      </c>
      <c r="L20" s="9">
        <v>45</v>
      </c>
      <c r="M20" s="9">
        <v>120</v>
      </c>
      <c r="N20" s="30">
        <v>0</v>
      </c>
      <c r="O20" s="9">
        <v>5350</v>
      </c>
      <c r="P20" s="9">
        <v>2362</v>
      </c>
      <c r="Q20" s="21"/>
      <c r="R20" s="156"/>
    </row>
    <row r="21" spans="1:24" ht="13" x14ac:dyDescent="0.3">
      <c r="A21" s="5" t="s">
        <v>23</v>
      </c>
      <c r="B21" s="9">
        <f t="shared" ref="B21:P21" si="3">B19-B20</f>
        <v>587</v>
      </c>
      <c r="C21" s="9">
        <f t="shared" si="3"/>
        <v>179</v>
      </c>
      <c r="D21" s="9">
        <f t="shared" si="3"/>
        <v>14</v>
      </c>
      <c r="E21" s="9">
        <f t="shared" si="3"/>
        <v>5</v>
      </c>
      <c r="F21" s="9">
        <f t="shared" si="3"/>
        <v>56</v>
      </c>
      <c r="G21" s="9">
        <f t="shared" si="3"/>
        <v>0</v>
      </c>
      <c r="H21" s="9">
        <f t="shared" si="3"/>
        <v>41</v>
      </c>
      <c r="I21" s="9">
        <f t="shared" si="3"/>
        <v>0</v>
      </c>
      <c r="J21" s="9">
        <f t="shared" si="3"/>
        <v>4</v>
      </c>
      <c r="K21" s="9">
        <f t="shared" si="3"/>
        <v>-39</v>
      </c>
      <c r="L21" s="9">
        <f t="shared" si="3"/>
        <v>-10</v>
      </c>
      <c r="M21" s="9">
        <f t="shared" si="3"/>
        <v>-64</v>
      </c>
      <c r="N21" s="30">
        <f t="shared" si="3"/>
        <v>8</v>
      </c>
      <c r="O21" s="9">
        <f t="shared" si="3"/>
        <v>186</v>
      </c>
      <c r="P21" s="9">
        <f t="shared" si="3"/>
        <v>-242</v>
      </c>
      <c r="Q21" s="9"/>
      <c r="R21" s="157"/>
    </row>
    <row r="31" spans="1:24" ht="13" x14ac:dyDescent="0.3">
      <c r="A31" s="1" t="s">
        <v>0</v>
      </c>
      <c r="B31" s="2" t="s">
        <v>1</v>
      </c>
      <c r="C31" s="2" t="s">
        <v>2</v>
      </c>
      <c r="D31" s="73" t="s">
        <v>52</v>
      </c>
      <c r="E31" s="73" t="s">
        <v>53</v>
      </c>
      <c r="F31" s="2" t="s">
        <v>3</v>
      </c>
      <c r="G31" s="2" t="s">
        <v>4</v>
      </c>
      <c r="H31" s="73" t="s">
        <v>5</v>
      </c>
      <c r="I31" s="73" t="s">
        <v>49</v>
      </c>
      <c r="J31" s="73" t="s">
        <v>46</v>
      </c>
      <c r="K31" s="131" t="s">
        <v>48</v>
      </c>
      <c r="L31" s="35" t="s">
        <v>47</v>
      </c>
      <c r="M31" s="2" t="s">
        <v>6</v>
      </c>
      <c r="N31" s="32" t="s">
        <v>7</v>
      </c>
      <c r="O31" s="1" t="s">
        <v>8</v>
      </c>
      <c r="P31" s="2" t="s">
        <v>10</v>
      </c>
      <c r="Q31" s="2" t="s">
        <v>1</v>
      </c>
      <c r="R31" s="2" t="s">
        <v>9</v>
      </c>
      <c r="T31" s="163" t="s">
        <v>103</v>
      </c>
      <c r="U31" s="163" t="s">
        <v>104</v>
      </c>
      <c r="V31" s="164"/>
      <c r="W31" s="163" t="s">
        <v>94</v>
      </c>
      <c r="X31" s="163" t="s">
        <v>95</v>
      </c>
    </row>
    <row r="32" spans="1:24" ht="13" x14ac:dyDescent="0.3">
      <c r="A32" t="s">
        <v>11</v>
      </c>
      <c r="B32" s="10">
        <v>792</v>
      </c>
      <c r="C32" s="10">
        <v>426</v>
      </c>
      <c r="D32" s="10">
        <v>2</v>
      </c>
      <c r="E32" s="10">
        <v>0</v>
      </c>
      <c r="F32" s="10">
        <v>3</v>
      </c>
      <c r="G32" s="10">
        <v>0</v>
      </c>
      <c r="H32" s="10">
        <v>5</v>
      </c>
      <c r="I32" s="10">
        <v>0</v>
      </c>
      <c r="J32" s="10">
        <v>0</v>
      </c>
      <c r="K32" s="10">
        <v>0</v>
      </c>
      <c r="L32" s="10">
        <v>0</v>
      </c>
      <c r="M32" s="10">
        <v>6</v>
      </c>
      <c r="N32" s="31">
        <v>2</v>
      </c>
      <c r="O32" s="10">
        <f t="shared" ref="O32:O41" si="4">SUM(C32:M32)</f>
        <v>442</v>
      </c>
      <c r="P32" s="10">
        <v>60</v>
      </c>
      <c r="Q32" s="188">
        <f t="shared" ref="Q32:R44" si="5">T32/W32</f>
        <v>0.16470588235294117</v>
      </c>
      <c r="R32" s="179">
        <f t="shared" si="5"/>
        <v>0.22437673130193905</v>
      </c>
      <c r="S32" s="22"/>
      <c r="T32" s="143">
        <f>B32-W32</f>
        <v>112</v>
      </c>
      <c r="U32" s="143">
        <f t="shared" ref="U32:U43" si="6">O32-X32</f>
        <v>81</v>
      </c>
      <c r="W32" s="12">
        <f t="shared" ref="W32:W43" si="7">B7</f>
        <v>680</v>
      </c>
      <c r="X32" s="12">
        <f t="shared" ref="X32:X43" si="8">O7</f>
        <v>361</v>
      </c>
    </row>
    <row r="33" spans="1:24" ht="13" x14ac:dyDescent="0.3">
      <c r="A33" t="s">
        <v>12</v>
      </c>
      <c r="B33" s="10">
        <v>582</v>
      </c>
      <c r="C33" s="10">
        <v>339</v>
      </c>
      <c r="D33" s="10">
        <v>2</v>
      </c>
      <c r="E33" s="10">
        <v>0</v>
      </c>
      <c r="F33" s="10">
        <v>3</v>
      </c>
      <c r="G33" s="10">
        <v>0</v>
      </c>
      <c r="H33" s="10">
        <v>5</v>
      </c>
      <c r="I33" s="10">
        <v>0</v>
      </c>
      <c r="J33" s="10">
        <v>0</v>
      </c>
      <c r="K33" s="10">
        <v>0</v>
      </c>
      <c r="L33" s="10">
        <v>0</v>
      </c>
      <c r="M33" s="10">
        <v>5</v>
      </c>
      <c r="N33" s="31">
        <v>0</v>
      </c>
      <c r="O33" s="10">
        <f t="shared" si="4"/>
        <v>354</v>
      </c>
      <c r="P33" s="10">
        <v>59</v>
      </c>
      <c r="Q33" s="188">
        <f t="shared" si="5"/>
        <v>-0.15895953757225434</v>
      </c>
      <c r="R33" s="181">
        <f t="shared" si="5"/>
        <v>-0.15311004784688995</v>
      </c>
      <c r="S33" s="22"/>
      <c r="T33" s="143">
        <f t="shared" ref="T33:T43" si="9">B33-W33</f>
        <v>-110</v>
      </c>
      <c r="U33" s="143">
        <f t="shared" si="6"/>
        <v>-64</v>
      </c>
      <c r="W33" s="12">
        <f t="shared" si="7"/>
        <v>692</v>
      </c>
      <c r="X33" s="12">
        <f t="shared" si="8"/>
        <v>418</v>
      </c>
    </row>
    <row r="34" spans="1:24" ht="13" x14ac:dyDescent="0.3">
      <c r="A34" t="s">
        <v>13</v>
      </c>
      <c r="B34" s="10">
        <v>905</v>
      </c>
      <c r="C34" s="10">
        <v>466</v>
      </c>
      <c r="D34" s="10">
        <v>0</v>
      </c>
      <c r="E34" s="10">
        <v>0</v>
      </c>
      <c r="F34" s="10">
        <v>6</v>
      </c>
      <c r="G34" s="10">
        <v>0</v>
      </c>
      <c r="H34" s="10">
        <v>1</v>
      </c>
      <c r="I34" s="10">
        <v>0</v>
      </c>
      <c r="J34" s="10">
        <v>0</v>
      </c>
      <c r="K34" s="10">
        <v>0</v>
      </c>
      <c r="L34" s="10">
        <v>0</v>
      </c>
      <c r="M34" s="10">
        <v>7</v>
      </c>
      <c r="N34" s="31">
        <v>0</v>
      </c>
      <c r="O34" s="10">
        <f t="shared" si="4"/>
        <v>480</v>
      </c>
      <c r="P34" s="10">
        <v>56</v>
      </c>
      <c r="Q34" s="188">
        <f t="shared" si="5"/>
        <v>0</v>
      </c>
      <c r="R34" s="181">
        <f t="shared" si="5"/>
        <v>-0.11275415896487985</v>
      </c>
      <c r="S34" s="22"/>
      <c r="T34" s="143">
        <f t="shared" si="9"/>
        <v>0</v>
      </c>
      <c r="U34" s="143">
        <f t="shared" si="6"/>
        <v>-61</v>
      </c>
      <c r="W34" s="12">
        <f t="shared" si="7"/>
        <v>905</v>
      </c>
      <c r="X34" s="12">
        <f t="shared" si="8"/>
        <v>541</v>
      </c>
    </row>
    <row r="35" spans="1:24" ht="13" x14ac:dyDescent="0.3">
      <c r="A35" t="s">
        <v>14</v>
      </c>
      <c r="B35" s="10">
        <v>918</v>
      </c>
      <c r="C35" s="10">
        <v>433</v>
      </c>
      <c r="D35" s="10">
        <v>4</v>
      </c>
      <c r="E35" s="10">
        <v>2</v>
      </c>
      <c r="F35" s="10">
        <v>6</v>
      </c>
      <c r="G35" s="10">
        <v>0</v>
      </c>
      <c r="H35" s="10">
        <v>9</v>
      </c>
      <c r="I35" s="10">
        <v>4</v>
      </c>
      <c r="J35" s="10">
        <v>0</v>
      </c>
      <c r="K35" s="10">
        <v>10</v>
      </c>
      <c r="L35" s="10">
        <v>3</v>
      </c>
      <c r="M35" s="10">
        <v>8</v>
      </c>
      <c r="N35" s="31">
        <v>2</v>
      </c>
      <c r="O35" s="10">
        <f t="shared" si="4"/>
        <v>479</v>
      </c>
      <c r="P35" s="10">
        <v>74</v>
      </c>
      <c r="Q35" s="188">
        <f t="shared" si="5"/>
        <v>0.17994858611825193</v>
      </c>
      <c r="R35" s="181">
        <f t="shared" si="5"/>
        <v>1.6985138004246284E-2</v>
      </c>
      <c r="S35" s="22"/>
      <c r="T35" s="143">
        <f t="shared" si="9"/>
        <v>140</v>
      </c>
      <c r="U35" s="143">
        <f t="shared" si="6"/>
        <v>8</v>
      </c>
      <c r="W35" s="12">
        <f t="shared" si="7"/>
        <v>778</v>
      </c>
      <c r="X35" s="12">
        <f t="shared" si="8"/>
        <v>471</v>
      </c>
    </row>
    <row r="36" spans="1:24" ht="13" x14ac:dyDescent="0.3">
      <c r="A36" t="s">
        <v>15</v>
      </c>
      <c r="B36" s="10">
        <v>972</v>
      </c>
      <c r="C36" s="10">
        <v>426</v>
      </c>
      <c r="D36" s="10">
        <v>0</v>
      </c>
      <c r="E36" s="10">
        <v>1</v>
      </c>
      <c r="F36" s="10">
        <v>18</v>
      </c>
      <c r="G36" s="10">
        <v>0</v>
      </c>
      <c r="H36" s="10">
        <v>7</v>
      </c>
      <c r="I36" s="10">
        <v>0</v>
      </c>
      <c r="J36" s="10">
        <v>1</v>
      </c>
      <c r="K36" s="10">
        <v>7</v>
      </c>
      <c r="L36" s="10">
        <v>3</v>
      </c>
      <c r="M36" s="10">
        <v>7</v>
      </c>
      <c r="N36" s="31">
        <v>2</v>
      </c>
      <c r="O36" s="10">
        <f t="shared" si="4"/>
        <v>470</v>
      </c>
      <c r="P36" s="10">
        <v>254</v>
      </c>
      <c r="Q36" s="188">
        <f t="shared" si="5"/>
        <v>5.170630816959669E-3</v>
      </c>
      <c r="R36" s="181">
        <f t="shared" si="5"/>
        <v>-0.1391941391941392</v>
      </c>
      <c r="S36" s="22"/>
      <c r="T36" s="143">
        <f t="shared" si="9"/>
        <v>5</v>
      </c>
      <c r="U36" s="143">
        <f t="shared" si="6"/>
        <v>-76</v>
      </c>
      <c r="W36" s="12">
        <f t="shared" si="7"/>
        <v>967</v>
      </c>
      <c r="X36" s="12">
        <f t="shared" si="8"/>
        <v>546</v>
      </c>
    </row>
    <row r="37" spans="1:24" ht="13" x14ac:dyDescent="0.3">
      <c r="A37" t="s">
        <v>16</v>
      </c>
      <c r="B37" s="10">
        <v>731</v>
      </c>
      <c r="C37" s="10">
        <v>347</v>
      </c>
      <c r="D37" s="10">
        <v>6</v>
      </c>
      <c r="E37" s="10">
        <v>1</v>
      </c>
      <c r="F37" s="10">
        <v>19</v>
      </c>
      <c r="G37" s="10">
        <v>0</v>
      </c>
      <c r="H37" s="10">
        <v>12</v>
      </c>
      <c r="I37" s="10">
        <v>0</v>
      </c>
      <c r="J37" s="10">
        <v>0</v>
      </c>
      <c r="K37" s="10">
        <v>40</v>
      </c>
      <c r="L37" s="10">
        <v>4</v>
      </c>
      <c r="M37" s="10">
        <v>3</v>
      </c>
      <c r="N37" s="31">
        <v>0</v>
      </c>
      <c r="O37" s="10">
        <f t="shared" si="4"/>
        <v>432</v>
      </c>
      <c r="P37" s="102">
        <v>215</v>
      </c>
      <c r="Q37" s="188">
        <f t="shared" si="5"/>
        <v>7.4999999999999997E-2</v>
      </c>
      <c r="R37" s="181">
        <f t="shared" si="5"/>
        <v>-9.0526315789473691E-2</v>
      </c>
      <c r="S37" s="22"/>
      <c r="T37" s="143">
        <f t="shared" si="9"/>
        <v>51</v>
      </c>
      <c r="U37" s="143">
        <f t="shared" si="6"/>
        <v>-43</v>
      </c>
      <c r="W37" s="12">
        <f t="shared" si="7"/>
        <v>680</v>
      </c>
      <c r="X37" s="12">
        <f t="shared" si="8"/>
        <v>475</v>
      </c>
    </row>
    <row r="38" spans="1:24" ht="13" x14ac:dyDescent="0.3">
      <c r="A38" t="s">
        <v>17</v>
      </c>
      <c r="B38" s="10">
        <v>661</v>
      </c>
      <c r="C38" s="10">
        <v>317</v>
      </c>
      <c r="D38" s="10">
        <v>7</v>
      </c>
      <c r="E38" s="10">
        <v>0</v>
      </c>
      <c r="F38" s="10">
        <v>24</v>
      </c>
      <c r="G38" s="10">
        <v>0</v>
      </c>
      <c r="H38" s="10">
        <v>12</v>
      </c>
      <c r="I38" s="10">
        <v>0</v>
      </c>
      <c r="J38" s="10">
        <v>0</v>
      </c>
      <c r="K38" s="10">
        <v>54</v>
      </c>
      <c r="L38" s="10">
        <v>17</v>
      </c>
      <c r="M38" s="10">
        <v>10</v>
      </c>
      <c r="N38" s="31">
        <v>0</v>
      </c>
      <c r="O38" s="10">
        <f t="shared" si="4"/>
        <v>441</v>
      </c>
      <c r="P38" s="10">
        <v>324</v>
      </c>
      <c r="Q38" s="188">
        <f t="shared" si="5"/>
        <v>-8.9955022488755615E-3</v>
      </c>
      <c r="R38" s="181">
        <f t="shared" si="5"/>
        <v>2.5581395348837209E-2</v>
      </c>
      <c r="S38" s="22"/>
      <c r="T38" s="143">
        <f t="shared" si="9"/>
        <v>-6</v>
      </c>
      <c r="U38" s="143">
        <f t="shared" si="6"/>
        <v>11</v>
      </c>
      <c r="W38" s="12">
        <f t="shared" si="7"/>
        <v>667</v>
      </c>
      <c r="X38" s="12">
        <f t="shared" si="8"/>
        <v>430</v>
      </c>
    </row>
    <row r="39" spans="1:24" ht="13" x14ac:dyDescent="0.3">
      <c r="A39" t="s">
        <v>18</v>
      </c>
      <c r="B39" s="10">
        <v>956</v>
      </c>
      <c r="C39" s="10">
        <v>432</v>
      </c>
      <c r="D39" s="10">
        <v>6</v>
      </c>
      <c r="E39" s="10">
        <v>2</v>
      </c>
      <c r="F39" s="10">
        <v>18</v>
      </c>
      <c r="G39" s="10">
        <v>0</v>
      </c>
      <c r="H39" s="10">
        <v>8</v>
      </c>
      <c r="I39" s="10">
        <v>0</v>
      </c>
      <c r="J39" s="10">
        <v>0</v>
      </c>
      <c r="K39" s="10">
        <v>24</v>
      </c>
      <c r="L39" s="10">
        <v>11</v>
      </c>
      <c r="M39" s="10">
        <v>8</v>
      </c>
      <c r="N39" s="31">
        <v>0</v>
      </c>
      <c r="O39" s="10">
        <f t="shared" si="4"/>
        <v>509</v>
      </c>
      <c r="P39" s="10">
        <v>218</v>
      </c>
      <c r="Q39" s="188">
        <f t="shared" si="5"/>
        <v>0.26455026455026454</v>
      </c>
      <c r="R39" s="181">
        <f t="shared" si="5"/>
        <v>0.10893246187363835</v>
      </c>
      <c r="S39" s="22"/>
      <c r="T39" s="143">
        <f t="shared" si="9"/>
        <v>200</v>
      </c>
      <c r="U39" s="143">
        <f t="shared" si="6"/>
        <v>50</v>
      </c>
      <c r="W39" s="12">
        <f t="shared" si="7"/>
        <v>756</v>
      </c>
      <c r="X39" s="12">
        <f t="shared" si="8"/>
        <v>459</v>
      </c>
    </row>
    <row r="40" spans="1:24" ht="13" x14ac:dyDescent="0.3">
      <c r="A40" t="s">
        <v>19</v>
      </c>
      <c r="B40" s="10">
        <v>854</v>
      </c>
      <c r="C40" s="10">
        <v>446</v>
      </c>
      <c r="D40" s="10">
        <v>1</v>
      </c>
      <c r="E40" s="10">
        <v>1</v>
      </c>
      <c r="F40" s="10">
        <v>13</v>
      </c>
      <c r="G40" s="10">
        <v>0</v>
      </c>
      <c r="H40" s="10">
        <v>5</v>
      </c>
      <c r="I40" s="10">
        <v>0</v>
      </c>
      <c r="J40" s="10">
        <v>0</v>
      </c>
      <c r="K40" s="10">
        <v>4</v>
      </c>
      <c r="L40" s="10">
        <v>0</v>
      </c>
      <c r="M40" s="10">
        <v>5</v>
      </c>
      <c r="N40" s="31">
        <v>1</v>
      </c>
      <c r="O40" s="10">
        <f t="shared" si="4"/>
        <v>475</v>
      </c>
      <c r="P40" s="10">
        <v>158</v>
      </c>
      <c r="Q40" s="188">
        <f t="shared" si="5"/>
        <v>1.5457788347205707E-2</v>
      </c>
      <c r="R40" s="181">
        <f t="shared" si="5"/>
        <v>-7.2265625E-2</v>
      </c>
      <c r="S40" s="22"/>
      <c r="T40" s="143">
        <f t="shared" si="9"/>
        <v>13</v>
      </c>
      <c r="U40" s="143">
        <f t="shared" si="6"/>
        <v>-37</v>
      </c>
      <c r="W40" s="12">
        <f t="shared" si="7"/>
        <v>841</v>
      </c>
      <c r="X40" s="12">
        <f t="shared" si="8"/>
        <v>512</v>
      </c>
    </row>
    <row r="41" spans="1:24" ht="13" x14ac:dyDescent="0.3">
      <c r="A41" t="s">
        <v>20</v>
      </c>
      <c r="B41" s="10">
        <v>937</v>
      </c>
      <c r="C41" s="10">
        <v>516</v>
      </c>
      <c r="D41" s="10">
        <v>2</v>
      </c>
      <c r="E41" s="10">
        <v>0</v>
      </c>
      <c r="F41" s="10">
        <v>15</v>
      </c>
      <c r="G41" s="10">
        <v>0</v>
      </c>
      <c r="H41" s="10">
        <v>23</v>
      </c>
      <c r="I41" s="10">
        <v>0</v>
      </c>
      <c r="J41" s="10">
        <v>2</v>
      </c>
      <c r="K41" s="10">
        <v>2</v>
      </c>
      <c r="L41" s="10">
        <v>2</v>
      </c>
      <c r="M41" s="10">
        <v>5</v>
      </c>
      <c r="N41" s="31">
        <v>0</v>
      </c>
      <c r="O41" s="10">
        <f t="shared" si="4"/>
        <v>567</v>
      </c>
      <c r="P41" s="10">
        <v>196</v>
      </c>
      <c r="Q41" s="188">
        <f t="shared" si="5"/>
        <v>0.13027744270205066</v>
      </c>
      <c r="R41" s="181">
        <f t="shared" si="5"/>
        <v>0.19368421052631579</v>
      </c>
      <c r="S41" s="22"/>
      <c r="T41" s="143">
        <f t="shared" si="9"/>
        <v>108</v>
      </c>
      <c r="U41" s="143">
        <f t="shared" si="6"/>
        <v>92</v>
      </c>
      <c r="W41" s="12">
        <f t="shared" si="7"/>
        <v>829</v>
      </c>
      <c r="X41" s="12">
        <f t="shared" si="8"/>
        <v>475</v>
      </c>
    </row>
    <row r="42" spans="1:24" ht="13" x14ac:dyDescent="0.3">
      <c r="A42" t="s">
        <v>21</v>
      </c>
      <c r="B42" s="10">
        <v>958</v>
      </c>
      <c r="C42" s="10">
        <v>483</v>
      </c>
      <c r="D42" s="10">
        <v>0</v>
      </c>
      <c r="E42" s="10">
        <v>0</v>
      </c>
      <c r="F42" s="10">
        <v>24</v>
      </c>
      <c r="G42" s="10">
        <v>0</v>
      </c>
      <c r="H42" s="10">
        <v>17</v>
      </c>
      <c r="I42" s="10">
        <v>1</v>
      </c>
      <c r="J42" s="10">
        <v>1</v>
      </c>
      <c r="K42" s="10">
        <v>0</v>
      </c>
      <c r="L42" s="10">
        <v>0</v>
      </c>
      <c r="M42" s="10">
        <v>2</v>
      </c>
      <c r="N42" s="31">
        <v>0</v>
      </c>
      <c r="O42" s="10">
        <v>528</v>
      </c>
      <c r="P42" s="10">
        <v>322</v>
      </c>
      <c r="Q42" s="188">
        <f t="shared" si="5"/>
        <v>-1.7435897435897435E-2</v>
      </c>
      <c r="R42" s="181">
        <f t="shared" si="5"/>
        <v>2.3255813953488372E-2</v>
      </c>
      <c r="S42" s="22"/>
      <c r="T42" s="143">
        <f t="shared" si="9"/>
        <v>-17</v>
      </c>
      <c r="U42" s="143">
        <f t="shared" si="6"/>
        <v>12</v>
      </c>
      <c r="W42" s="12">
        <f t="shared" si="7"/>
        <v>975</v>
      </c>
      <c r="X42" s="12">
        <f t="shared" si="8"/>
        <v>516</v>
      </c>
    </row>
    <row r="43" spans="1:24" ht="13" x14ac:dyDescent="0.3">
      <c r="A43" s="4" t="s">
        <v>22</v>
      </c>
      <c r="B43" s="11">
        <v>665</v>
      </c>
      <c r="C43" s="11">
        <v>357</v>
      </c>
      <c r="D43" s="11">
        <v>2</v>
      </c>
      <c r="E43" s="11">
        <v>0</v>
      </c>
      <c r="F43" s="11">
        <v>17</v>
      </c>
      <c r="G43" s="11">
        <v>0</v>
      </c>
      <c r="H43" s="11">
        <v>11</v>
      </c>
      <c r="I43" s="11">
        <v>3</v>
      </c>
      <c r="J43" s="11">
        <v>0</v>
      </c>
      <c r="K43" s="11">
        <v>0</v>
      </c>
      <c r="L43" s="11">
        <v>0</v>
      </c>
      <c r="M43" s="11">
        <v>6</v>
      </c>
      <c r="N43" s="30">
        <v>1</v>
      </c>
      <c r="O43" s="11">
        <v>396</v>
      </c>
      <c r="P43" s="11">
        <v>234</v>
      </c>
      <c r="Q43" s="189">
        <f t="shared" si="5"/>
        <v>1.3719512195121951E-2</v>
      </c>
      <c r="R43" s="184">
        <f t="shared" si="5"/>
        <v>0.19277108433734941</v>
      </c>
      <c r="S43" s="22"/>
      <c r="T43" s="169">
        <f t="shared" si="9"/>
        <v>9</v>
      </c>
      <c r="U43" s="169">
        <f t="shared" si="6"/>
        <v>64</v>
      </c>
      <c r="W43" s="20">
        <f t="shared" si="7"/>
        <v>656</v>
      </c>
      <c r="X43" s="20">
        <f t="shared" si="8"/>
        <v>332</v>
      </c>
    </row>
    <row r="44" spans="1:24" ht="13" x14ac:dyDescent="0.3">
      <c r="A44" s="3" t="s">
        <v>106</v>
      </c>
      <c r="B44" s="8">
        <f>SUM(B32:B43)</f>
        <v>9931</v>
      </c>
      <c r="C44" s="8">
        <f t="shared" ref="C44:N44" si="10">SUM(C32:C43)</f>
        <v>4988</v>
      </c>
      <c r="D44" s="8">
        <f t="shared" si="10"/>
        <v>32</v>
      </c>
      <c r="E44" s="8">
        <f t="shared" si="10"/>
        <v>7</v>
      </c>
      <c r="F44" s="8">
        <f t="shared" si="10"/>
        <v>166</v>
      </c>
      <c r="G44" s="8">
        <f t="shared" si="10"/>
        <v>0</v>
      </c>
      <c r="H44" s="8">
        <f t="shared" si="10"/>
        <v>115</v>
      </c>
      <c r="I44" s="8">
        <f t="shared" si="10"/>
        <v>8</v>
      </c>
      <c r="J44" s="8">
        <f t="shared" si="10"/>
        <v>4</v>
      </c>
      <c r="K44" s="8">
        <f t="shared" si="10"/>
        <v>141</v>
      </c>
      <c r="L44" s="8">
        <f t="shared" si="10"/>
        <v>40</v>
      </c>
      <c r="M44" s="8">
        <f t="shared" si="10"/>
        <v>72</v>
      </c>
      <c r="N44" s="8">
        <f t="shared" si="10"/>
        <v>8</v>
      </c>
      <c r="O44" s="8">
        <f>SUM(O32:O43)</f>
        <v>5573</v>
      </c>
      <c r="P44" s="8">
        <f>SUM(P32:P43)</f>
        <v>2170</v>
      </c>
      <c r="Q44" s="186">
        <f>T44/W44</f>
        <v>5.357521748355612E-2</v>
      </c>
      <c r="R44" s="187">
        <f t="shared" si="5"/>
        <v>6.6835260115606938E-3</v>
      </c>
      <c r="S44" s="22"/>
      <c r="T44" s="143">
        <f>SUM(T32:T43)</f>
        <v>505</v>
      </c>
      <c r="U44" s="143">
        <f>SUM(U32:U43)</f>
        <v>37</v>
      </c>
      <c r="W44" s="12">
        <f>SUM(W32:W43)</f>
        <v>9426</v>
      </c>
      <c r="X44" s="12">
        <f>SUM(X32:X43)</f>
        <v>5536</v>
      </c>
    </row>
    <row r="45" spans="1:24" ht="13" x14ac:dyDescent="0.3">
      <c r="A45" s="5" t="s">
        <v>93</v>
      </c>
      <c r="B45" s="9">
        <v>9426</v>
      </c>
      <c r="C45" s="9">
        <v>4960</v>
      </c>
      <c r="D45" s="9">
        <v>30</v>
      </c>
      <c r="E45" s="9">
        <v>8</v>
      </c>
      <c r="F45" s="9">
        <v>227</v>
      </c>
      <c r="G45" s="9">
        <v>3</v>
      </c>
      <c r="H45" s="9">
        <v>108</v>
      </c>
      <c r="I45" s="9">
        <v>0</v>
      </c>
      <c r="J45" s="9">
        <v>5</v>
      </c>
      <c r="K45" s="9">
        <v>104</v>
      </c>
      <c r="L45" s="9">
        <v>35</v>
      </c>
      <c r="M45" s="9">
        <v>56</v>
      </c>
      <c r="N45" s="30">
        <v>8</v>
      </c>
      <c r="O45" s="9">
        <v>5536</v>
      </c>
      <c r="P45" s="9">
        <v>2120</v>
      </c>
      <c r="Q45" s="21">
        <v>6.641022740128974E-2</v>
      </c>
      <c r="R45" s="156">
        <v>3.4766355140186916E-2</v>
      </c>
    </row>
    <row r="46" spans="1:24" ht="13" x14ac:dyDescent="0.3">
      <c r="A46" s="5" t="s">
        <v>23</v>
      </c>
      <c r="B46" s="9">
        <f t="shared" ref="B46:P46" si="11">B44-B45</f>
        <v>505</v>
      </c>
      <c r="C46" s="9">
        <f t="shared" si="11"/>
        <v>28</v>
      </c>
      <c r="D46" s="9">
        <f t="shared" si="11"/>
        <v>2</v>
      </c>
      <c r="E46" s="9">
        <f t="shared" si="11"/>
        <v>-1</v>
      </c>
      <c r="F46" s="9">
        <f t="shared" si="11"/>
        <v>-61</v>
      </c>
      <c r="G46" s="9">
        <f t="shared" si="11"/>
        <v>-3</v>
      </c>
      <c r="H46" s="9">
        <f t="shared" si="11"/>
        <v>7</v>
      </c>
      <c r="I46" s="9">
        <f t="shared" si="11"/>
        <v>8</v>
      </c>
      <c r="J46" s="9">
        <f t="shared" si="11"/>
        <v>-1</v>
      </c>
      <c r="K46" s="9">
        <f t="shared" si="11"/>
        <v>37</v>
      </c>
      <c r="L46" s="9">
        <f t="shared" si="11"/>
        <v>5</v>
      </c>
      <c r="M46" s="9">
        <f t="shared" si="11"/>
        <v>16</v>
      </c>
      <c r="N46" s="30">
        <f t="shared" si="11"/>
        <v>0</v>
      </c>
      <c r="O46" s="9">
        <f t="shared" si="11"/>
        <v>37</v>
      </c>
      <c r="P46" s="9">
        <f t="shared" si="11"/>
        <v>50</v>
      </c>
      <c r="Q46" s="9"/>
      <c r="R46" s="157"/>
    </row>
    <row r="48" spans="1:24" ht="13" thickBot="1" x14ac:dyDescent="0.3"/>
    <row r="49" spans="1:24" ht="12.75" customHeight="1" x14ac:dyDescent="0.25">
      <c r="B49" s="368"/>
      <c r="C49" s="369"/>
      <c r="D49" s="369"/>
      <c r="E49" s="369"/>
      <c r="F49" s="369"/>
      <c r="G49" s="369"/>
      <c r="H49" s="369"/>
      <c r="I49" s="369"/>
      <c r="J49" s="369"/>
      <c r="K49" s="369"/>
      <c r="L49" s="369"/>
      <c r="M49" s="370"/>
    </row>
    <row r="50" spans="1:24" ht="18" x14ac:dyDescent="0.25">
      <c r="B50" s="371"/>
      <c r="C50" s="3" t="s">
        <v>148</v>
      </c>
      <c r="F50" s="335" t="s">
        <v>149</v>
      </c>
      <c r="M50" s="372"/>
    </row>
    <row r="51" spans="1:24" ht="12.75" customHeight="1" thickBot="1" x14ac:dyDescent="0.3">
      <c r="B51" s="373"/>
      <c r="C51" s="374"/>
      <c r="D51" s="374"/>
      <c r="E51" s="374"/>
      <c r="F51" s="374"/>
      <c r="G51" s="374"/>
      <c r="H51" s="374"/>
      <c r="I51" s="374"/>
      <c r="J51" s="374"/>
      <c r="K51" s="374"/>
      <c r="L51" s="374"/>
      <c r="M51" s="375"/>
    </row>
    <row r="52" spans="1:24" ht="12.75" customHeight="1" x14ac:dyDescent="0.25"/>
    <row r="53" spans="1:24" ht="12.75" customHeight="1" x14ac:dyDescent="0.3">
      <c r="A53" s="1" t="s">
        <v>0</v>
      </c>
      <c r="B53" s="2" t="s">
        <v>1</v>
      </c>
      <c r="C53" s="2" t="s">
        <v>2</v>
      </c>
      <c r="D53" s="73" t="s">
        <v>52</v>
      </c>
      <c r="E53" s="73" t="s">
        <v>53</v>
      </c>
      <c r="F53" s="2" t="s">
        <v>3</v>
      </c>
      <c r="G53" s="2" t="s">
        <v>4</v>
      </c>
      <c r="H53" s="73" t="s">
        <v>5</v>
      </c>
      <c r="I53" s="73" t="s">
        <v>49</v>
      </c>
      <c r="J53" s="73" t="s">
        <v>46</v>
      </c>
      <c r="K53" s="73" t="s">
        <v>48</v>
      </c>
      <c r="L53" s="1" t="s">
        <v>47</v>
      </c>
      <c r="M53" s="2" t="s">
        <v>6</v>
      </c>
      <c r="N53" s="32" t="s">
        <v>7</v>
      </c>
      <c r="O53" s="1" t="s">
        <v>8</v>
      </c>
      <c r="P53" s="2" t="s">
        <v>10</v>
      </c>
      <c r="Q53" s="2" t="s">
        <v>1</v>
      </c>
      <c r="R53" s="2" t="s">
        <v>9</v>
      </c>
      <c r="T53" s="163" t="s">
        <v>129</v>
      </c>
      <c r="U53" s="163" t="s">
        <v>130</v>
      </c>
      <c r="V53" s="164"/>
      <c r="W53" s="163" t="s">
        <v>103</v>
      </c>
      <c r="X53" s="163" t="s">
        <v>104</v>
      </c>
    </row>
    <row r="54" spans="1:24" ht="12.75" customHeight="1" x14ac:dyDescent="0.3">
      <c r="A54" t="s">
        <v>11</v>
      </c>
      <c r="B54" s="10">
        <v>754</v>
      </c>
      <c r="C54" s="10">
        <v>431</v>
      </c>
      <c r="D54" s="10">
        <v>2</v>
      </c>
      <c r="E54" s="10">
        <v>0</v>
      </c>
      <c r="F54" s="10">
        <v>14</v>
      </c>
      <c r="G54" s="10">
        <v>0</v>
      </c>
      <c r="H54" s="10">
        <v>9</v>
      </c>
      <c r="I54" s="10">
        <v>0</v>
      </c>
      <c r="J54" s="10">
        <v>4</v>
      </c>
      <c r="K54" s="10">
        <v>0</v>
      </c>
      <c r="L54" s="10">
        <v>0</v>
      </c>
      <c r="M54" s="10">
        <v>6</v>
      </c>
      <c r="N54" s="31">
        <v>0</v>
      </c>
      <c r="O54" s="10">
        <f t="shared" ref="O54:O65" si="12">SUM(C54:M54)</f>
        <v>466</v>
      </c>
      <c r="P54" s="10">
        <v>148</v>
      </c>
      <c r="Q54" s="285">
        <f t="shared" ref="Q54:R66" si="13">T54/W54</f>
        <v>-4.7979797979797977E-2</v>
      </c>
      <c r="R54" s="286">
        <f t="shared" si="13"/>
        <v>5.4298642533936653E-2</v>
      </c>
      <c r="T54" s="143">
        <f>B54-W54</f>
        <v>-38</v>
      </c>
      <c r="U54" s="143">
        <f t="shared" ref="U54:U65" si="14">O54-X54</f>
        <v>24</v>
      </c>
      <c r="W54" s="12">
        <v>792</v>
      </c>
      <c r="X54" s="12">
        <v>442</v>
      </c>
    </row>
    <row r="55" spans="1:24" ht="12.75" customHeight="1" x14ac:dyDescent="0.3">
      <c r="A55" t="s">
        <v>12</v>
      </c>
      <c r="B55" s="10">
        <v>678</v>
      </c>
      <c r="C55" s="10">
        <v>385</v>
      </c>
      <c r="D55" s="10">
        <v>4</v>
      </c>
      <c r="E55" s="10">
        <v>0</v>
      </c>
      <c r="F55" s="10">
        <v>8</v>
      </c>
      <c r="G55" s="10">
        <v>0</v>
      </c>
      <c r="H55" s="10">
        <v>3</v>
      </c>
      <c r="I55" s="10">
        <v>0</v>
      </c>
      <c r="J55" s="10">
        <v>3</v>
      </c>
      <c r="K55" s="10">
        <v>0</v>
      </c>
      <c r="L55" s="10">
        <v>0</v>
      </c>
      <c r="M55" s="10">
        <v>7</v>
      </c>
      <c r="N55" s="31">
        <v>0</v>
      </c>
      <c r="O55" s="10">
        <f t="shared" si="12"/>
        <v>410</v>
      </c>
      <c r="P55" s="10">
        <v>88</v>
      </c>
      <c r="Q55" s="285">
        <f t="shared" si="13"/>
        <v>0.16494845360824742</v>
      </c>
      <c r="R55" s="287">
        <f t="shared" si="13"/>
        <v>0.15819209039548024</v>
      </c>
      <c r="T55" s="143">
        <f t="shared" ref="T55:T65" si="15">B55-W55</f>
        <v>96</v>
      </c>
      <c r="U55" s="143">
        <f t="shared" si="14"/>
        <v>56</v>
      </c>
      <c r="W55" s="12">
        <v>582</v>
      </c>
      <c r="X55" s="12">
        <v>354</v>
      </c>
    </row>
    <row r="56" spans="1:24" ht="12.75" customHeight="1" x14ac:dyDescent="0.3">
      <c r="A56" t="s">
        <v>13</v>
      </c>
      <c r="B56" s="10">
        <v>814</v>
      </c>
      <c r="C56" s="10">
        <v>462</v>
      </c>
      <c r="D56" s="10">
        <v>6</v>
      </c>
      <c r="E56" s="10">
        <v>0</v>
      </c>
      <c r="F56" s="10">
        <v>8</v>
      </c>
      <c r="G56" s="10">
        <v>0</v>
      </c>
      <c r="H56" s="10">
        <v>13</v>
      </c>
      <c r="I56" s="10">
        <v>0</v>
      </c>
      <c r="J56" s="10">
        <v>2</v>
      </c>
      <c r="K56" s="10">
        <v>0</v>
      </c>
      <c r="L56" s="10">
        <v>0</v>
      </c>
      <c r="M56" s="10">
        <v>5</v>
      </c>
      <c r="N56" s="31">
        <v>0</v>
      </c>
      <c r="O56" s="10">
        <f t="shared" si="12"/>
        <v>496</v>
      </c>
      <c r="P56" s="10">
        <v>166</v>
      </c>
      <c r="Q56" s="285">
        <f t="shared" si="13"/>
        <v>-0.10055248618784531</v>
      </c>
      <c r="R56" s="287">
        <f t="shared" si="13"/>
        <v>3.3333333333333333E-2</v>
      </c>
      <c r="T56" s="143">
        <f t="shared" si="15"/>
        <v>-91</v>
      </c>
      <c r="U56" s="143">
        <f t="shared" si="14"/>
        <v>16</v>
      </c>
      <c r="W56" s="12">
        <v>905</v>
      </c>
      <c r="X56" s="12">
        <v>480</v>
      </c>
    </row>
    <row r="57" spans="1:24" ht="12.75" customHeight="1" x14ac:dyDescent="0.3">
      <c r="A57" t="s">
        <v>14</v>
      </c>
      <c r="B57" s="10">
        <v>872</v>
      </c>
      <c r="C57" s="10">
        <v>470</v>
      </c>
      <c r="D57" s="10">
        <v>6</v>
      </c>
      <c r="E57" s="10">
        <v>0</v>
      </c>
      <c r="F57" s="10">
        <v>13</v>
      </c>
      <c r="G57" s="10">
        <v>0</v>
      </c>
      <c r="H57" s="10">
        <v>6</v>
      </c>
      <c r="I57" s="10">
        <v>1</v>
      </c>
      <c r="J57" s="10">
        <v>0</v>
      </c>
      <c r="K57" s="10">
        <v>2</v>
      </c>
      <c r="L57" s="10">
        <v>0</v>
      </c>
      <c r="M57" s="10">
        <v>5</v>
      </c>
      <c r="N57" s="31">
        <v>0</v>
      </c>
      <c r="O57" s="10">
        <f t="shared" si="12"/>
        <v>503</v>
      </c>
      <c r="P57" s="10">
        <v>195</v>
      </c>
      <c r="Q57" s="285">
        <f t="shared" si="13"/>
        <v>-5.0108932461873638E-2</v>
      </c>
      <c r="R57" s="287">
        <f t="shared" si="13"/>
        <v>5.0104384133611693E-2</v>
      </c>
      <c r="S57" t="s">
        <v>150</v>
      </c>
      <c r="T57" s="143">
        <f t="shared" si="15"/>
        <v>-46</v>
      </c>
      <c r="U57" s="143">
        <f t="shared" si="14"/>
        <v>24</v>
      </c>
      <c r="W57" s="12">
        <v>918</v>
      </c>
      <c r="X57" s="12">
        <v>479</v>
      </c>
    </row>
    <row r="58" spans="1:24" ht="12.75" customHeight="1" x14ac:dyDescent="0.3">
      <c r="A58" t="s">
        <v>15</v>
      </c>
      <c r="B58" s="10">
        <v>830</v>
      </c>
      <c r="C58" s="10">
        <v>440</v>
      </c>
      <c r="D58" s="10">
        <v>5</v>
      </c>
      <c r="E58" s="10">
        <v>2</v>
      </c>
      <c r="F58" s="10">
        <v>16</v>
      </c>
      <c r="G58" s="10">
        <v>0</v>
      </c>
      <c r="H58" s="10">
        <v>12</v>
      </c>
      <c r="I58" s="10">
        <v>0</v>
      </c>
      <c r="J58" s="10">
        <v>2</v>
      </c>
      <c r="K58" s="10">
        <v>3</v>
      </c>
      <c r="L58" s="10">
        <v>3</v>
      </c>
      <c r="M58" s="10">
        <v>1</v>
      </c>
      <c r="N58" s="31">
        <v>0</v>
      </c>
      <c r="O58" s="10">
        <f t="shared" si="12"/>
        <v>484</v>
      </c>
      <c r="P58" s="10">
        <v>202</v>
      </c>
      <c r="Q58" s="285">
        <f t="shared" si="13"/>
        <v>-0.14609053497942387</v>
      </c>
      <c r="R58" s="287">
        <f t="shared" si="13"/>
        <v>2.9787234042553193E-2</v>
      </c>
      <c r="T58" s="143">
        <f t="shared" si="15"/>
        <v>-142</v>
      </c>
      <c r="U58" s="143">
        <f t="shared" si="14"/>
        <v>14</v>
      </c>
      <c r="W58" s="12">
        <v>972</v>
      </c>
      <c r="X58" s="12">
        <v>470</v>
      </c>
    </row>
    <row r="59" spans="1:24" ht="12.75" customHeight="1" x14ac:dyDescent="0.3">
      <c r="A59" t="s">
        <v>16</v>
      </c>
      <c r="B59" s="10">
        <v>642</v>
      </c>
      <c r="C59" s="10">
        <v>317</v>
      </c>
      <c r="D59" s="10">
        <v>7</v>
      </c>
      <c r="E59" s="10">
        <v>0</v>
      </c>
      <c r="F59" s="10">
        <v>15</v>
      </c>
      <c r="G59" s="10">
        <v>0</v>
      </c>
      <c r="H59" s="10">
        <v>27</v>
      </c>
      <c r="I59" s="10">
        <v>2</v>
      </c>
      <c r="J59" s="10">
        <v>1</v>
      </c>
      <c r="K59" s="10">
        <v>37</v>
      </c>
      <c r="L59" s="10">
        <v>1</v>
      </c>
      <c r="M59" s="10">
        <v>2</v>
      </c>
      <c r="N59" s="31">
        <v>4</v>
      </c>
      <c r="O59" s="10">
        <f t="shared" si="12"/>
        <v>409</v>
      </c>
      <c r="P59" s="102">
        <v>220</v>
      </c>
      <c r="Q59" s="285">
        <f t="shared" si="13"/>
        <v>-0.12175102599179206</v>
      </c>
      <c r="R59" s="287">
        <f t="shared" si="13"/>
        <v>-5.3240740740740741E-2</v>
      </c>
      <c r="T59" s="143">
        <f t="shared" si="15"/>
        <v>-89</v>
      </c>
      <c r="U59" s="143">
        <f t="shared" si="14"/>
        <v>-23</v>
      </c>
      <c r="W59" s="12">
        <v>731</v>
      </c>
      <c r="X59" s="12">
        <v>432</v>
      </c>
    </row>
    <row r="60" spans="1:24" ht="12.75" customHeight="1" x14ac:dyDescent="0.3">
      <c r="A60" t="s">
        <v>17</v>
      </c>
      <c r="B60" s="10">
        <v>480</v>
      </c>
      <c r="C60" s="10">
        <v>233</v>
      </c>
      <c r="D60" s="10">
        <v>2</v>
      </c>
      <c r="E60" s="10">
        <v>0</v>
      </c>
      <c r="F60" s="10">
        <v>12</v>
      </c>
      <c r="G60" s="10">
        <v>2</v>
      </c>
      <c r="H60" s="10">
        <v>4</v>
      </c>
      <c r="I60" s="10">
        <v>0</v>
      </c>
      <c r="J60" s="10">
        <v>0</v>
      </c>
      <c r="K60" s="10">
        <v>72</v>
      </c>
      <c r="L60" s="10">
        <v>0</v>
      </c>
      <c r="M60" s="10">
        <v>7</v>
      </c>
      <c r="N60" s="31">
        <v>0</v>
      </c>
      <c r="O60" s="10">
        <f t="shared" si="12"/>
        <v>332</v>
      </c>
      <c r="P60" s="10">
        <v>149</v>
      </c>
      <c r="Q60" s="285">
        <f t="shared" si="13"/>
        <v>-0.27382753403933435</v>
      </c>
      <c r="R60" s="287">
        <f t="shared" si="13"/>
        <v>-0.2471655328798186</v>
      </c>
      <c r="T60" s="143">
        <f t="shared" si="15"/>
        <v>-181</v>
      </c>
      <c r="U60" s="143">
        <f t="shared" si="14"/>
        <v>-109</v>
      </c>
      <c r="W60" s="12">
        <v>661</v>
      </c>
      <c r="X60" s="12">
        <v>441</v>
      </c>
    </row>
    <row r="61" spans="1:24" ht="12.75" customHeight="1" x14ac:dyDescent="0.3">
      <c r="A61" t="s">
        <v>18</v>
      </c>
      <c r="B61" s="10">
        <v>857</v>
      </c>
      <c r="C61" s="10">
        <v>422</v>
      </c>
      <c r="D61" s="10">
        <v>2</v>
      </c>
      <c r="E61" s="10">
        <v>0</v>
      </c>
      <c r="F61" s="10">
        <v>19</v>
      </c>
      <c r="G61" s="10">
        <v>0</v>
      </c>
      <c r="H61" s="10">
        <v>16</v>
      </c>
      <c r="I61" s="10">
        <v>0</v>
      </c>
      <c r="J61" s="10">
        <v>1</v>
      </c>
      <c r="K61" s="10">
        <v>36</v>
      </c>
      <c r="L61" s="10">
        <v>4</v>
      </c>
      <c r="M61" s="10">
        <v>8</v>
      </c>
      <c r="N61" s="31">
        <v>0</v>
      </c>
      <c r="O61" s="10">
        <f t="shared" si="12"/>
        <v>508</v>
      </c>
      <c r="P61" s="10">
        <v>254</v>
      </c>
      <c r="Q61" s="285">
        <f t="shared" si="13"/>
        <v>-0.10355648535564854</v>
      </c>
      <c r="R61" s="287">
        <f t="shared" si="13"/>
        <v>-1.9646365422396855E-3</v>
      </c>
      <c r="T61" s="143">
        <f t="shared" si="15"/>
        <v>-99</v>
      </c>
      <c r="U61" s="143">
        <f t="shared" si="14"/>
        <v>-1</v>
      </c>
      <c r="W61" s="12">
        <v>956</v>
      </c>
      <c r="X61" s="12">
        <v>509</v>
      </c>
    </row>
    <row r="62" spans="1:24" ht="12.75" customHeight="1" x14ac:dyDescent="0.3">
      <c r="A62" t="s">
        <v>19</v>
      </c>
      <c r="B62" s="10">
        <v>847</v>
      </c>
      <c r="C62" s="10">
        <v>481</v>
      </c>
      <c r="D62" s="10">
        <v>1</v>
      </c>
      <c r="E62" s="10">
        <v>1</v>
      </c>
      <c r="F62" s="10">
        <v>21</v>
      </c>
      <c r="G62" s="10">
        <v>0</v>
      </c>
      <c r="H62" s="10">
        <v>3</v>
      </c>
      <c r="I62" s="10">
        <v>0</v>
      </c>
      <c r="J62" s="10">
        <v>0</v>
      </c>
      <c r="K62" s="10">
        <v>6</v>
      </c>
      <c r="L62" s="10">
        <v>2</v>
      </c>
      <c r="M62" s="10">
        <v>0</v>
      </c>
      <c r="N62" s="31">
        <v>0</v>
      </c>
      <c r="O62" s="10">
        <f t="shared" si="12"/>
        <v>515</v>
      </c>
      <c r="P62" s="10">
        <v>111</v>
      </c>
      <c r="Q62" s="285">
        <f t="shared" si="13"/>
        <v>-8.1967213114754103E-3</v>
      </c>
      <c r="R62" s="287">
        <f t="shared" si="13"/>
        <v>8.4210526315789472E-2</v>
      </c>
      <c r="T62" s="143">
        <f t="shared" si="15"/>
        <v>-7</v>
      </c>
      <c r="U62" s="143">
        <f t="shared" si="14"/>
        <v>40</v>
      </c>
      <c r="W62" s="12">
        <v>854</v>
      </c>
      <c r="X62" s="12">
        <v>475</v>
      </c>
    </row>
    <row r="63" spans="1:24" ht="12.75" customHeight="1" x14ac:dyDescent="0.3">
      <c r="A63" t="s">
        <v>20</v>
      </c>
      <c r="B63" s="10">
        <v>994</v>
      </c>
      <c r="C63" s="10">
        <v>545</v>
      </c>
      <c r="D63" s="10">
        <v>0</v>
      </c>
      <c r="E63" s="10">
        <v>0</v>
      </c>
      <c r="F63" s="10">
        <v>12</v>
      </c>
      <c r="G63" s="10">
        <v>0</v>
      </c>
      <c r="H63" s="10">
        <v>11</v>
      </c>
      <c r="I63" s="10">
        <v>2</v>
      </c>
      <c r="J63" s="10">
        <v>0</v>
      </c>
      <c r="K63" s="10">
        <v>0</v>
      </c>
      <c r="L63" s="10">
        <v>10</v>
      </c>
      <c r="M63" s="10">
        <v>0</v>
      </c>
      <c r="N63" s="31">
        <v>0</v>
      </c>
      <c r="O63" s="10">
        <f t="shared" si="12"/>
        <v>580</v>
      </c>
      <c r="P63" s="10">
        <v>215</v>
      </c>
      <c r="Q63" s="285">
        <f t="shared" si="13"/>
        <v>6.0832443970117396E-2</v>
      </c>
      <c r="R63" s="287">
        <f t="shared" si="13"/>
        <v>2.292768959435626E-2</v>
      </c>
      <c r="T63" s="143">
        <f t="shared" si="15"/>
        <v>57</v>
      </c>
      <c r="U63" s="143">
        <f t="shared" si="14"/>
        <v>13</v>
      </c>
      <c r="W63" s="12">
        <v>937</v>
      </c>
      <c r="X63" s="12">
        <v>567</v>
      </c>
    </row>
    <row r="64" spans="1:24" ht="12.75" customHeight="1" x14ac:dyDescent="0.3">
      <c r="A64" t="s">
        <v>21</v>
      </c>
      <c r="B64" s="10">
        <v>792</v>
      </c>
      <c r="C64" s="10">
        <v>424</v>
      </c>
      <c r="D64" s="10">
        <v>4</v>
      </c>
      <c r="E64" s="10">
        <v>0</v>
      </c>
      <c r="F64" s="10">
        <v>18</v>
      </c>
      <c r="G64" s="10">
        <v>0</v>
      </c>
      <c r="H64" s="10">
        <v>4</v>
      </c>
      <c r="I64" s="10">
        <v>0</v>
      </c>
      <c r="J64" s="10">
        <v>0</v>
      </c>
      <c r="K64" s="10">
        <v>0</v>
      </c>
      <c r="L64" s="10">
        <v>0</v>
      </c>
      <c r="M64" s="10">
        <v>0</v>
      </c>
      <c r="N64" s="31">
        <v>0</v>
      </c>
      <c r="O64" s="10">
        <f t="shared" si="12"/>
        <v>450</v>
      </c>
      <c r="P64" s="10">
        <v>225</v>
      </c>
      <c r="Q64" s="285">
        <f t="shared" si="13"/>
        <v>-0.1732776617954071</v>
      </c>
      <c r="R64" s="287">
        <f t="shared" si="13"/>
        <v>-0.14772727272727273</v>
      </c>
      <c r="T64" s="143">
        <f t="shared" si="15"/>
        <v>-166</v>
      </c>
      <c r="U64" s="143">
        <f t="shared" si="14"/>
        <v>-78</v>
      </c>
      <c r="W64" s="12">
        <v>958</v>
      </c>
      <c r="X64" s="12">
        <v>528</v>
      </c>
    </row>
    <row r="65" spans="1:24" ht="12.75" customHeight="1" x14ac:dyDescent="0.3">
      <c r="A65" s="4" t="s">
        <v>22</v>
      </c>
      <c r="B65" s="11">
        <v>604</v>
      </c>
      <c r="C65" s="11">
        <v>337</v>
      </c>
      <c r="D65" s="11">
        <v>0</v>
      </c>
      <c r="E65" s="11">
        <v>0</v>
      </c>
      <c r="F65" s="11">
        <v>7</v>
      </c>
      <c r="G65" s="11">
        <v>0</v>
      </c>
      <c r="H65" s="11">
        <v>4</v>
      </c>
      <c r="I65" s="11">
        <v>0</v>
      </c>
      <c r="J65" s="11">
        <v>2</v>
      </c>
      <c r="K65" s="11">
        <v>1</v>
      </c>
      <c r="L65" s="11">
        <v>0</v>
      </c>
      <c r="M65" s="11">
        <v>1</v>
      </c>
      <c r="N65" s="30">
        <v>0</v>
      </c>
      <c r="O65" s="11">
        <f t="shared" si="12"/>
        <v>352</v>
      </c>
      <c r="P65" s="11">
        <v>127</v>
      </c>
      <c r="Q65" s="288">
        <f t="shared" si="13"/>
        <v>-9.1729323308270674E-2</v>
      </c>
      <c r="R65" s="289">
        <f t="shared" si="13"/>
        <v>-0.1111111111111111</v>
      </c>
      <c r="T65" s="169">
        <f t="shared" si="15"/>
        <v>-61</v>
      </c>
      <c r="U65" s="169">
        <f t="shared" si="14"/>
        <v>-44</v>
      </c>
      <c r="W65" s="20">
        <v>665</v>
      </c>
      <c r="X65" s="20">
        <v>396</v>
      </c>
    </row>
    <row r="66" spans="1:24" ht="12.75" customHeight="1" x14ac:dyDescent="0.3">
      <c r="A66" s="3" t="s">
        <v>131</v>
      </c>
      <c r="B66" s="8">
        <f>SUM(B54:B65)</f>
        <v>9164</v>
      </c>
      <c r="C66" s="8">
        <f t="shared" ref="C66:N66" si="16">SUM(C54:C65)</f>
        <v>4947</v>
      </c>
      <c r="D66" s="8">
        <f t="shared" si="16"/>
        <v>39</v>
      </c>
      <c r="E66" s="8">
        <f t="shared" si="16"/>
        <v>3</v>
      </c>
      <c r="F66" s="8">
        <f t="shared" si="16"/>
        <v>163</v>
      </c>
      <c r="G66" s="8">
        <f t="shared" si="16"/>
        <v>2</v>
      </c>
      <c r="H66" s="8">
        <f t="shared" si="16"/>
        <v>112</v>
      </c>
      <c r="I66" s="8">
        <f t="shared" si="16"/>
        <v>5</v>
      </c>
      <c r="J66" s="8">
        <f t="shared" si="16"/>
        <v>15</v>
      </c>
      <c r="K66" s="8">
        <f t="shared" si="16"/>
        <v>157</v>
      </c>
      <c r="L66" s="8">
        <f t="shared" si="16"/>
        <v>20</v>
      </c>
      <c r="M66" s="8">
        <f t="shared" si="16"/>
        <v>42</v>
      </c>
      <c r="N66" s="8">
        <f t="shared" si="16"/>
        <v>4</v>
      </c>
      <c r="O66" s="8">
        <f>SUM(O54:O65)</f>
        <v>5505</v>
      </c>
      <c r="P66" s="8">
        <f>SUM(P54:P65)</f>
        <v>2100</v>
      </c>
      <c r="Q66" s="290">
        <f>T66/W66</f>
        <v>-7.7232907058705058E-2</v>
      </c>
      <c r="R66" s="187">
        <f t="shared" si="13"/>
        <v>-1.2201686703750225E-2</v>
      </c>
      <c r="T66" s="143">
        <f>SUM(T54:T65)</f>
        <v>-767</v>
      </c>
      <c r="U66" s="143">
        <f>SUM(U54:U65)</f>
        <v>-68</v>
      </c>
      <c r="W66" s="12">
        <f>SUM(W54:W65)</f>
        <v>9931</v>
      </c>
      <c r="X66" s="12">
        <f>SUM(X54:X65)</f>
        <v>5573</v>
      </c>
    </row>
    <row r="67" spans="1:24" ht="12.75" customHeight="1" x14ac:dyDescent="0.3">
      <c r="A67" s="5" t="s">
        <v>106</v>
      </c>
      <c r="B67" s="9">
        <v>9931</v>
      </c>
      <c r="C67" s="9">
        <v>4988</v>
      </c>
      <c r="D67" s="9">
        <v>32</v>
      </c>
      <c r="E67" s="9">
        <v>7</v>
      </c>
      <c r="F67" s="9">
        <v>166</v>
      </c>
      <c r="G67" s="9">
        <v>0</v>
      </c>
      <c r="H67" s="9">
        <v>115</v>
      </c>
      <c r="I67" s="9">
        <v>8</v>
      </c>
      <c r="J67" s="9">
        <v>4</v>
      </c>
      <c r="K67" s="9">
        <v>141</v>
      </c>
      <c r="L67" s="9">
        <v>40</v>
      </c>
      <c r="M67" s="9">
        <v>72</v>
      </c>
      <c r="N67" s="30">
        <v>8</v>
      </c>
      <c r="O67" s="9">
        <v>5573</v>
      </c>
      <c r="P67" s="9">
        <v>2170</v>
      </c>
      <c r="Q67" s="21"/>
      <c r="R67" s="156"/>
    </row>
    <row r="68" spans="1:24" ht="12.75" customHeight="1" x14ac:dyDescent="0.3">
      <c r="A68" s="5" t="s">
        <v>23</v>
      </c>
      <c r="B68" s="9">
        <f t="shared" ref="B68:P68" si="17">B66-B67</f>
        <v>-767</v>
      </c>
      <c r="C68" s="9">
        <f t="shared" si="17"/>
        <v>-41</v>
      </c>
      <c r="D68" s="9">
        <f t="shared" si="17"/>
        <v>7</v>
      </c>
      <c r="E68" s="9">
        <f t="shared" si="17"/>
        <v>-4</v>
      </c>
      <c r="F68" s="9">
        <f t="shared" si="17"/>
        <v>-3</v>
      </c>
      <c r="G68" s="9">
        <f t="shared" si="17"/>
        <v>2</v>
      </c>
      <c r="H68" s="9">
        <f t="shared" si="17"/>
        <v>-3</v>
      </c>
      <c r="I68" s="9">
        <f t="shared" si="17"/>
        <v>-3</v>
      </c>
      <c r="J68" s="9">
        <f t="shared" si="17"/>
        <v>11</v>
      </c>
      <c r="K68" s="9">
        <f t="shared" si="17"/>
        <v>16</v>
      </c>
      <c r="L68" s="9">
        <f t="shared" si="17"/>
        <v>-20</v>
      </c>
      <c r="M68" s="9">
        <f t="shared" si="17"/>
        <v>-30</v>
      </c>
      <c r="N68" s="30">
        <f t="shared" si="17"/>
        <v>-4</v>
      </c>
      <c r="O68" s="9">
        <f t="shared" si="17"/>
        <v>-68</v>
      </c>
      <c r="P68" s="9">
        <f t="shared" si="17"/>
        <v>-70</v>
      </c>
      <c r="Q68" s="9"/>
      <c r="R68" s="157"/>
    </row>
    <row r="69" spans="1:24" ht="12.75" customHeight="1" thickBot="1" x14ac:dyDescent="0.3"/>
    <row r="70" spans="1:24" ht="12.75" customHeight="1" x14ac:dyDescent="0.25">
      <c r="B70" s="368"/>
      <c r="C70" s="369"/>
      <c r="D70" s="369"/>
      <c r="E70" s="369"/>
      <c r="F70" s="369"/>
      <c r="G70" s="369"/>
      <c r="H70" s="369"/>
      <c r="I70" s="369"/>
      <c r="J70" s="369"/>
      <c r="K70" s="369"/>
      <c r="L70" s="369"/>
      <c r="M70" s="370"/>
    </row>
    <row r="71" spans="1:24" ht="18" x14ac:dyDescent="0.25">
      <c r="B71" s="371"/>
      <c r="C71" s="3" t="s">
        <v>148</v>
      </c>
      <c r="F71" s="335" t="s">
        <v>151</v>
      </c>
      <c r="M71" s="372"/>
    </row>
    <row r="72" spans="1:24" ht="12.75" customHeight="1" thickBot="1" x14ac:dyDescent="0.3">
      <c r="B72" s="373"/>
      <c r="C72" s="374"/>
      <c r="D72" s="374"/>
      <c r="E72" s="374"/>
      <c r="F72" s="374"/>
      <c r="G72" s="374"/>
      <c r="H72" s="374"/>
      <c r="I72" s="374"/>
      <c r="J72" s="374"/>
      <c r="K72" s="374"/>
      <c r="L72" s="374"/>
      <c r="M72" s="375"/>
    </row>
    <row r="73" spans="1:24" ht="12.75" customHeight="1" x14ac:dyDescent="0.25"/>
    <row r="74" spans="1:24" ht="12.75" customHeight="1" x14ac:dyDescent="0.3">
      <c r="A74" s="1" t="s">
        <v>0</v>
      </c>
      <c r="B74" s="2" t="s">
        <v>1</v>
      </c>
      <c r="C74" s="2" t="s">
        <v>2</v>
      </c>
      <c r="D74" s="73" t="s">
        <v>52</v>
      </c>
      <c r="E74" s="73" t="s">
        <v>53</v>
      </c>
      <c r="F74" s="2" t="s">
        <v>3</v>
      </c>
      <c r="G74" s="2" t="s">
        <v>4</v>
      </c>
      <c r="H74" s="73" t="s">
        <v>5</v>
      </c>
      <c r="I74" s="73" t="s">
        <v>49</v>
      </c>
      <c r="J74" s="73" t="s">
        <v>46</v>
      </c>
      <c r="K74" s="73" t="s">
        <v>48</v>
      </c>
      <c r="L74" s="1" t="s">
        <v>47</v>
      </c>
      <c r="M74" s="2" t="s">
        <v>6</v>
      </c>
      <c r="N74" s="32" t="s">
        <v>7</v>
      </c>
      <c r="O74" s="1" t="s">
        <v>8</v>
      </c>
      <c r="P74" s="2" t="s">
        <v>10</v>
      </c>
      <c r="Q74" s="2" t="s">
        <v>1</v>
      </c>
      <c r="R74" s="2" t="s">
        <v>9</v>
      </c>
      <c r="T74" s="163" t="s">
        <v>129</v>
      </c>
      <c r="U74" s="163" t="s">
        <v>130</v>
      </c>
      <c r="W74" s="163" t="s">
        <v>103</v>
      </c>
      <c r="X74" s="163" t="s">
        <v>104</v>
      </c>
    </row>
    <row r="75" spans="1:24" ht="12.75" customHeight="1" x14ac:dyDescent="0.3">
      <c r="A75" t="s">
        <v>11</v>
      </c>
      <c r="B75" s="10">
        <v>596</v>
      </c>
      <c r="C75" s="10">
        <v>326</v>
      </c>
      <c r="D75" s="10">
        <v>0</v>
      </c>
      <c r="E75" s="10">
        <v>0</v>
      </c>
      <c r="F75" s="10">
        <v>18</v>
      </c>
      <c r="G75" s="10">
        <v>0</v>
      </c>
      <c r="H75" s="10">
        <v>3</v>
      </c>
      <c r="I75" s="10">
        <v>0</v>
      </c>
      <c r="J75" s="10">
        <v>0</v>
      </c>
      <c r="K75" s="10">
        <v>0</v>
      </c>
      <c r="L75" s="10">
        <v>0</v>
      </c>
      <c r="M75" s="10">
        <v>1</v>
      </c>
      <c r="N75" s="31">
        <v>0</v>
      </c>
      <c r="O75" s="10">
        <f t="shared" ref="O75:O86" si="18">SUM(C75:M75)</f>
        <v>348</v>
      </c>
      <c r="P75" s="10">
        <v>233</v>
      </c>
      <c r="Q75" s="285">
        <f t="shared" ref="Q75:R87" si="19">T75/W75</f>
        <v>-0.20954907161803712</v>
      </c>
      <c r="R75" s="286">
        <f t="shared" si="19"/>
        <v>-0.25321888412017168</v>
      </c>
      <c r="T75" s="143">
        <f>B75-W75</f>
        <v>-158</v>
      </c>
      <c r="U75" s="143">
        <f t="shared" ref="U75:U86" si="20">O75-X75</f>
        <v>-118</v>
      </c>
      <c r="W75" s="12">
        <v>754</v>
      </c>
      <c r="X75" s="12">
        <v>466</v>
      </c>
    </row>
    <row r="76" spans="1:24" ht="12.75" customHeight="1" x14ac:dyDescent="0.3">
      <c r="A76" t="s">
        <v>12</v>
      </c>
      <c r="B76" s="10">
        <v>707</v>
      </c>
      <c r="C76" s="10">
        <v>378</v>
      </c>
      <c r="D76" s="10">
        <v>0</v>
      </c>
      <c r="E76" s="10">
        <v>0</v>
      </c>
      <c r="F76" s="10">
        <v>13</v>
      </c>
      <c r="G76" s="10">
        <v>0</v>
      </c>
      <c r="H76" s="10">
        <v>3</v>
      </c>
      <c r="I76" s="10">
        <v>0</v>
      </c>
      <c r="J76" s="10">
        <v>0</v>
      </c>
      <c r="K76" s="10">
        <v>0</v>
      </c>
      <c r="L76" s="10">
        <v>0</v>
      </c>
      <c r="M76" s="10">
        <v>0</v>
      </c>
      <c r="N76" s="31">
        <v>0</v>
      </c>
      <c r="O76" s="10">
        <f t="shared" si="18"/>
        <v>394</v>
      </c>
      <c r="P76" s="10">
        <v>170</v>
      </c>
      <c r="Q76" s="285">
        <f t="shared" si="19"/>
        <v>4.2772861356932153E-2</v>
      </c>
      <c r="R76" s="287">
        <f t="shared" si="19"/>
        <v>-3.9024390243902439E-2</v>
      </c>
      <c r="T76" s="143">
        <f t="shared" ref="T76:T86" si="21">B76-W76</f>
        <v>29</v>
      </c>
      <c r="U76" s="143">
        <f t="shared" si="20"/>
        <v>-16</v>
      </c>
      <c r="W76" s="12">
        <v>678</v>
      </c>
      <c r="X76" s="12">
        <v>410</v>
      </c>
    </row>
    <row r="77" spans="1:24" ht="12.75" customHeight="1" x14ac:dyDescent="0.3">
      <c r="A77" t="s">
        <v>13</v>
      </c>
      <c r="B77" s="10">
        <v>730</v>
      </c>
      <c r="C77" s="10">
        <v>401</v>
      </c>
      <c r="D77" s="10">
        <v>7</v>
      </c>
      <c r="E77" s="10">
        <v>0</v>
      </c>
      <c r="F77" s="10">
        <v>7</v>
      </c>
      <c r="G77" s="10">
        <v>0</v>
      </c>
      <c r="H77" s="10">
        <v>8</v>
      </c>
      <c r="I77" s="10">
        <v>0</v>
      </c>
      <c r="J77" s="10">
        <v>1</v>
      </c>
      <c r="K77" s="10">
        <v>12</v>
      </c>
      <c r="L77" s="10">
        <v>0</v>
      </c>
      <c r="M77" s="10">
        <v>0</v>
      </c>
      <c r="N77" s="31">
        <v>0</v>
      </c>
      <c r="O77" s="10">
        <f t="shared" si="18"/>
        <v>436</v>
      </c>
      <c r="P77" s="10">
        <v>104</v>
      </c>
      <c r="Q77" s="285">
        <f t="shared" si="19"/>
        <v>-0.10319410319410319</v>
      </c>
      <c r="R77" s="287">
        <f t="shared" si="19"/>
        <v>-0.12096774193548387</v>
      </c>
      <c r="T77" s="143">
        <f t="shared" si="21"/>
        <v>-84</v>
      </c>
      <c r="U77" s="143">
        <f t="shared" si="20"/>
        <v>-60</v>
      </c>
      <c r="W77" s="12">
        <v>814</v>
      </c>
      <c r="X77" s="12">
        <v>496</v>
      </c>
    </row>
    <row r="78" spans="1:24" ht="12.75" customHeight="1" x14ac:dyDescent="0.3">
      <c r="A78" t="s">
        <v>14</v>
      </c>
      <c r="B78" s="10">
        <v>513</v>
      </c>
      <c r="C78" s="10">
        <v>318</v>
      </c>
      <c r="D78" s="10">
        <v>2</v>
      </c>
      <c r="E78" s="10">
        <v>0</v>
      </c>
      <c r="F78" s="10">
        <v>12</v>
      </c>
      <c r="G78" s="10">
        <v>0</v>
      </c>
      <c r="H78" s="10">
        <v>1</v>
      </c>
      <c r="I78" s="10">
        <v>0</v>
      </c>
      <c r="J78" s="10">
        <v>0</v>
      </c>
      <c r="K78" s="10">
        <v>0</v>
      </c>
      <c r="L78" s="10">
        <v>1</v>
      </c>
      <c r="M78" s="10">
        <v>0</v>
      </c>
      <c r="N78" s="31">
        <v>0</v>
      </c>
      <c r="O78" s="10">
        <f t="shared" si="18"/>
        <v>334</v>
      </c>
      <c r="P78" s="10">
        <v>133</v>
      </c>
      <c r="Q78" s="285">
        <f t="shared" si="19"/>
        <v>-0.41169724770642202</v>
      </c>
      <c r="R78" s="287">
        <f t="shared" si="19"/>
        <v>-0.3359840954274354</v>
      </c>
      <c r="T78" s="143">
        <f t="shared" si="21"/>
        <v>-359</v>
      </c>
      <c r="U78" s="143">
        <f t="shared" si="20"/>
        <v>-169</v>
      </c>
      <c r="W78" s="12">
        <v>872</v>
      </c>
      <c r="X78" s="12">
        <v>503</v>
      </c>
    </row>
    <row r="79" spans="1:24" ht="12.75" customHeight="1" x14ac:dyDescent="0.3">
      <c r="A79" t="s">
        <v>15</v>
      </c>
      <c r="B79" s="10">
        <v>683</v>
      </c>
      <c r="C79" s="10">
        <v>346</v>
      </c>
      <c r="D79" s="10">
        <v>3</v>
      </c>
      <c r="E79" s="10">
        <v>1</v>
      </c>
      <c r="F79" s="10">
        <v>16</v>
      </c>
      <c r="G79" s="10">
        <v>0</v>
      </c>
      <c r="H79" s="10">
        <v>10</v>
      </c>
      <c r="I79" s="10">
        <v>0</v>
      </c>
      <c r="J79" s="10">
        <v>2</v>
      </c>
      <c r="K79" s="10">
        <v>27</v>
      </c>
      <c r="L79" s="10">
        <v>0</v>
      </c>
      <c r="M79" s="10">
        <v>1</v>
      </c>
      <c r="N79" s="31">
        <v>0</v>
      </c>
      <c r="O79" s="10">
        <f t="shared" si="18"/>
        <v>406</v>
      </c>
      <c r="P79" s="10">
        <v>248</v>
      </c>
      <c r="Q79" s="285">
        <f t="shared" si="19"/>
        <v>-0.17710843373493976</v>
      </c>
      <c r="R79" s="287">
        <f t="shared" si="19"/>
        <v>-0.16115702479338842</v>
      </c>
      <c r="T79" s="143">
        <f t="shared" si="21"/>
        <v>-147</v>
      </c>
      <c r="U79" s="143">
        <f t="shared" si="20"/>
        <v>-78</v>
      </c>
      <c r="W79" s="12">
        <v>830</v>
      </c>
      <c r="X79" s="12">
        <v>484</v>
      </c>
    </row>
    <row r="80" spans="1:24" ht="12.75" customHeight="1" x14ac:dyDescent="0.3">
      <c r="A80" t="s">
        <v>16</v>
      </c>
      <c r="B80" s="10">
        <v>555</v>
      </c>
      <c r="C80" s="10">
        <v>283</v>
      </c>
      <c r="D80" s="10">
        <v>2</v>
      </c>
      <c r="E80" s="10">
        <v>1</v>
      </c>
      <c r="F80" s="10">
        <v>17</v>
      </c>
      <c r="G80" s="10">
        <v>0</v>
      </c>
      <c r="H80" s="10">
        <v>10</v>
      </c>
      <c r="I80" s="10">
        <v>1</v>
      </c>
      <c r="J80" s="10">
        <v>3</v>
      </c>
      <c r="K80" s="10">
        <v>22</v>
      </c>
      <c r="L80" s="10">
        <v>21</v>
      </c>
      <c r="M80" s="10">
        <v>1</v>
      </c>
      <c r="N80" s="31">
        <v>0</v>
      </c>
      <c r="O80" s="10">
        <f t="shared" si="18"/>
        <v>361</v>
      </c>
      <c r="P80" s="102">
        <v>281</v>
      </c>
      <c r="Q80" s="285">
        <f t="shared" si="19"/>
        <v>-0.13551401869158877</v>
      </c>
      <c r="R80" s="287">
        <f t="shared" si="19"/>
        <v>-0.11735941320293398</v>
      </c>
      <c r="T80" s="143">
        <f t="shared" si="21"/>
        <v>-87</v>
      </c>
      <c r="U80" s="143">
        <f t="shared" si="20"/>
        <v>-48</v>
      </c>
      <c r="W80" s="12">
        <v>642</v>
      </c>
      <c r="X80" s="12">
        <v>409</v>
      </c>
    </row>
    <row r="81" spans="1:24" ht="12.75" customHeight="1" x14ac:dyDescent="0.3">
      <c r="A81" t="s">
        <v>17</v>
      </c>
      <c r="B81" s="10">
        <v>549</v>
      </c>
      <c r="C81" s="10">
        <v>262</v>
      </c>
      <c r="D81" s="10">
        <v>6</v>
      </c>
      <c r="E81" s="10">
        <v>0</v>
      </c>
      <c r="F81" s="10">
        <v>11</v>
      </c>
      <c r="G81" s="10">
        <v>0</v>
      </c>
      <c r="H81" s="10">
        <v>12</v>
      </c>
      <c r="I81" s="10">
        <v>0</v>
      </c>
      <c r="J81" s="10">
        <v>2</v>
      </c>
      <c r="K81" s="10">
        <v>58</v>
      </c>
      <c r="L81" s="10">
        <v>36</v>
      </c>
      <c r="M81" s="10">
        <v>5</v>
      </c>
      <c r="N81" s="31">
        <v>0</v>
      </c>
      <c r="O81" s="10">
        <f t="shared" si="18"/>
        <v>392</v>
      </c>
      <c r="P81" s="10">
        <v>236</v>
      </c>
      <c r="Q81" s="285">
        <f t="shared" si="19"/>
        <v>0.14374999999999999</v>
      </c>
      <c r="R81" s="287">
        <f t="shared" si="19"/>
        <v>0.18072289156626506</v>
      </c>
      <c r="T81" s="143">
        <f t="shared" si="21"/>
        <v>69</v>
      </c>
      <c r="U81" s="143">
        <f t="shared" si="20"/>
        <v>60</v>
      </c>
      <c r="W81" s="12">
        <v>480</v>
      </c>
      <c r="X81" s="12">
        <v>332</v>
      </c>
    </row>
    <row r="82" spans="1:24" ht="12.75" customHeight="1" x14ac:dyDescent="0.3">
      <c r="A82" t="s">
        <v>18</v>
      </c>
      <c r="B82" s="10"/>
      <c r="C82" s="10"/>
      <c r="D82" s="10"/>
      <c r="E82" s="10"/>
      <c r="F82" s="10"/>
      <c r="G82" s="10"/>
      <c r="H82" s="10"/>
      <c r="I82" s="10"/>
      <c r="J82" s="10"/>
      <c r="K82" s="10"/>
      <c r="L82" s="10"/>
      <c r="M82" s="10"/>
      <c r="N82" s="31"/>
      <c r="O82" s="10">
        <f t="shared" si="18"/>
        <v>0</v>
      </c>
      <c r="P82" s="10"/>
      <c r="Q82" s="285">
        <f t="shared" si="19"/>
        <v>-1</v>
      </c>
      <c r="R82" s="287">
        <f t="shared" si="19"/>
        <v>-1</v>
      </c>
      <c r="T82" s="143">
        <f t="shared" si="21"/>
        <v>-857</v>
      </c>
      <c r="U82" s="143">
        <f t="shared" si="20"/>
        <v>-508</v>
      </c>
      <c r="W82" s="12">
        <v>857</v>
      </c>
      <c r="X82" s="12">
        <v>508</v>
      </c>
    </row>
    <row r="83" spans="1:24" ht="12.75" customHeight="1" x14ac:dyDescent="0.3">
      <c r="A83" t="s">
        <v>19</v>
      </c>
      <c r="B83" s="10"/>
      <c r="C83" s="10"/>
      <c r="D83" s="10"/>
      <c r="E83" s="10"/>
      <c r="F83" s="10"/>
      <c r="G83" s="10"/>
      <c r="H83" s="10"/>
      <c r="I83" s="10"/>
      <c r="J83" s="10"/>
      <c r="K83" s="10"/>
      <c r="L83" s="10"/>
      <c r="M83" s="10"/>
      <c r="N83" s="31"/>
      <c r="O83" s="10">
        <f t="shared" si="18"/>
        <v>0</v>
      </c>
      <c r="P83" s="10"/>
      <c r="Q83" s="285">
        <f t="shared" si="19"/>
        <v>-1</v>
      </c>
      <c r="R83" s="287">
        <f t="shared" si="19"/>
        <v>-1</v>
      </c>
      <c r="T83" s="143">
        <f t="shared" si="21"/>
        <v>-847</v>
      </c>
      <c r="U83" s="143">
        <f t="shared" si="20"/>
        <v>-515</v>
      </c>
      <c r="W83" s="12">
        <v>847</v>
      </c>
      <c r="X83" s="12">
        <v>515</v>
      </c>
    </row>
    <row r="84" spans="1:24" ht="12.75" customHeight="1" x14ac:dyDescent="0.3">
      <c r="A84" t="s">
        <v>20</v>
      </c>
      <c r="B84" s="10"/>
      <c r="C84" s="10"/>
      <c r="D84" s="10"/>
      <c r="E84" s="10"/>
      <c r="F84" s="10"/>
      <c r="G84" s="10"/>
      <c r="H84" s="10"/>
      <c r="I84" s="10"/>
      <c r="J84" s="10"/>
      <c r="K84" s="10"/>
      <c r="L84" s="10"/>
      <c r="M84" s="10"/>
      <c r="N84" s="31"/>
      <c r="O84" s="10">
        <f t="shared" si="18"/>
        <v>0</v>
      </c>
      <c r="P84" s="10"/>
      <c r="Q84" s="285">
        <f t="shared" si="19"/>
        <v>-1</v>
      </c>
      <c r="R84" s="287">
        <f t="shared" si="19"/>
        <v>-1</v>
      </c>
      <c r="T84" s="143">
        <f t="shared" si="21"/>
        <v>-994</v>
      </c>
      <c r="U84" s="143">
        <f t="shared" si="20"/>
        <v>-580</v>
      </c>
      <c r="W84" s="12">
        <v>994</v>
      </c>
      <c r="X84" s="12">
        <v>580</v>
      </c>
    </row>
    <row r="85" spans="1:24" ht="12.75" customHeight="1" x14ac:dyDescent="0.3">
      <c r="A85" t="s">
        <v>21</v>
      </c>
      <c r="B85" s="10"/>
      <c r="C85" s="10"/>
      <c r="D85" s="10"/>
      <c r="E85" s="10"/>
      <c r="F85" s="10"/>
      <c r="G85" s="10"/>
      <c r="H85" s="10"/>
      <c r="I85" s="10"/>
      <c r="J85" s="10"/>
      <c r="K85" s="10"/>
      <c r="L85" s="10"/>
      <c r="M85" s="10"/>
      <c r="N85" s="31"/>
      <c r="O85" s="10">
        <f t="shared" si="18"/>
        <v>0</v>
      </c>
      <c r="P85" s="10"/>
      <c r="Q85" s="285">
        <f t="shared" si="19"/>
        <v>-1</v>
      </c>
      <c r="R85" s="287">
        <f t="shared" si="19"/>
        <v>-1</v>
      </c>
      <c r="T85" s="143">
        <f t="shared" si="21"/>
        <v>-792</v>
      </c>
      <c r="U85" s="143">
        <f t="shared" si="20"/>
        <v>-450</v>
      </c>
      <c r="W85" s="12">
        <v>792</v>
      </c>
      <c r="X85" s="12">
        <v>450</v>
      </c>
    </row>
    <row r="86" spans="1:24" ht="12.75" customHeight="1" x14ac:dyDescent="0.3">
      <c r="A86" s="4" t="s">
        <v>22</v>
      </c>
      <c r="B86" s="11"/>
      <c r="C86" s="11"/>
      <c r="D86" s="11"/>
      <c r="E86" s="11"/>
      <c r="F86" s="11"/>
      <c r="G86" s="11"/>
      <c r="H86" s="11"/>
      <c r="I86" s="11"/>
      <c r="J86" s="11"/>
      <c r="K86" s="11"/>
      <c r="L86" s="11"/>
      <c r="M86" s="11"/>
      <c r="N86" s="30"/>
      <c r="O86" s="11">
        <f t="shared" si="18"/>
        <v>0</v>
      </c>
      <c r="P86" s="11"/>
      <c r="Q86" s="288">
        <f t="shared" si="19"/>
        <v>-1</v>
      </c>
      <c r="R86" s="289">
        <f t="shared" si="19"/>
        <v>-1</v>
      </c>
      <c r="T86" s="169">
        <f t="shared" si="21"/>
        <v>-604</v>
      </c>
      <c r="U86" s="169">
        <f t="shared" si="20"/>
        <v>-352</v>
      </c>
      <c r="W86" s="20">
        <v>604</v>
      </c>
      <c r="X86" s="20">
        <v>352</v>
      </c>
    </row>
    <row r="87" spans="1:24" ht="12.75" customHeight="1" x14ac:dyDescent="0.3">
      <c r="A87" s="3" t="s">
        <v>137</v>
      </c>
      <c r="B87" s="8">
        <f>SUM(B75:B86)</f>
        <v>4333</v>
      </c>
      <c r="C87" s="8">
        <f t="shared" ref="C87:N87" si="22">SUM(C75:C86)</f>
        <v>2314</v>
      </c>
      <c r="D87" s="8">
        <f t="shared" si="22"/>
        <v>20</v>
      </c>
      <c r="E87" s="8">
        <f t="shared" si="22"/>
        <v>2</v>
      </c>
      <c r="F87" s="8">
        <f t="shared" si="22"/>
        <v>94</v>
      </c>
      <c r="G87" s="8">
        <f t="shared" si="22"/>
        <v>0</v>
      </c>
      <c r="H87" s="8">
        <f t="shared" si="22"/>
        <v>47</v>
      </c>
      <c r="I87" s="8">
        <f t="shared" si="22"/>
        <v>1</v>
      </c>
      <c r="J87" s="8">
        <f t="shared" si="22"/>
        <v>8</v>
      </c>
      <c r="K87" s="8">
        <f t="shared" si="22"/>
        <v>119</v>
      </c>
      <c r="L87" s="8">
        <f t="shared" si="22"/>
        <v>58</v>
      </c>
      <c r="M87" s="8">
        <f t="shared" si="22"/>
        <v>8</v>
      </c>
      <c r="N87" s="8">
        <f t="shared" si="22"/>
        <v>0</v>
      </c>
      <c r="O87" s="8">
        <f>SUM(O75:O86)</f>
        <v>2671</v>
      </c>
      <c r="P87" s="8">
        <f>SUM(P75:P86)</f>
        <v>1405</v>
      </c>
      <c r="Q87" s="290">
        <f>T87/W87</f>
        <v>-0.52717154081187256</v>
      </c>
      <c r="R87" s="187">
        <f t="shared" si="19"/>
        <v>-0.51480472297910995</v>
      </c>
      <c r="T87" s="143">
        <f>SUM(T75:T86)</f>
        <v>-4831</v>
      </c>
      <c r="U87" s="143">
        <f>SUM(U75:U86)</f>
        <v>-2834</v>
      </c>
      <c r="W87" s="12">
        <f>SUM(W75:W86)</f>
        <v>9164</v>
      </c>
      <c r="X87" s="12">
        <f>SUM(X75:X86)</f>
        <v>5505</v>
      </c>
    </row>
    <row r="88" spans="1:24" ht="12.75" customHeight="1" x14ac:dyDescent="0.3">
      <c r="A88" s="5" t="s">
        <v>131</v>
      </c>
      <c r="B88" s="8">
        <v>9164</v>
      </c>
      <c r="C88" s="8">
        <v>4947</v>
      </c>
      <c r="D88" s="8">
        <v>39</v>
      </c>
      <c r="E88" s="8">
        <v>3</v>
      </c>
      <c r="F88" s="8">
        <v>163</v>
      </c>
      <c r="G88" s="8">
        <v>2</v>
      </c>
      <c r="H88" s="8">
        <v>112</v>
      </c>
      <c r="I88" s="8">
        <v>5</v>
      </c>
      <c r="J88" s="8">
        <v>15</v>
      </c>
      <c r="K88" s="8">
        <v>157</v>
      </c>
      <c r="L88" s="8">
        <v>20</v>
      </c>
      <c r="M88" s="8">
        <v>42</v>
      </c>
      <c r="N88" s="8">
        <v>4</v>
      </c>
      <c r="O88" s="8">
        <v>5505</v>
      </c>
      <c r="P88" s="8">
        <v>2100</v>
      </c>
      <c r="Q88" s="21"/>
      <c r="R88" s="156"/>
    </row>
    <row r="89" spans="1:24" ht="12.75" customHeight="1" x14ac:dyDescent="0.3">
      <c r="A89" s="5" t="s">
        <v>23</v>
      </c>
      <c r="B89" s="9">
        <f t="shared" ref="B89:P89" si="23">B87-B88</f>
        <v>-4831</v>
      </c>
      <c r="C89" s="9">
        <f t="shared" si="23"/>
        <v>-2633</v>
      </c>
      <c r="D89" s="9">
        <f t="shared" si="23"/>
        <v>-19</v>
      </c>
      <c r="E89" s="9">
        <f t="shared" si="23"/>
        <v>-1</v>
      </c>
      <c r="F89" s="9">
        <f t="shared" si="23"/>
        <v>-69</v>
      </c>
      <c r="G89" s="9">
        <f t="shared" si="23"/>
        <v>-2</v>
      </c>
      <c r="H89" s="9">
        <f t="shared" si="23"/>
        <v>-65</v>
      </c>
      <c r="I89" s="9">
        <f t="shared" si="23"/>
        <v>-4</v>
      </c>
      <c r="J89" s="9">
        <f t="shared" si="23"/>
        <v>-7</v>
      </c>
      <c r="K89" s="9">
        <f t="shared" si="23"/>
        <v>-38</v>
      </c>
      <c r="L89" s="9">
        <f t="shared" si="23"/>
        <v>38</v>
      </c>
      <c r="M89" s="9">
        <f t="shared" si="23"/>
        <v>-34</v>
      </c>
      <c r="N89" s="30">
        <f t="shared" si="23"/>
        <v>-4</v>
      </c>
      <c r="O89" s="9">
        <f t="shared" si="23"/>
        <v>-2834</v>
      </c>
      <c r="P89" s="9">
        <f t="shared" si="23"/>
        <v>-695</v>
      </c>
      <c r="Q89" s="9"/>
      <c r="R89" s="157"/>
    </row>
    <row r="90" spans="1:24" ht="12.75" customHeight="1" x14ac:dyDescent="0.25"/>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7:X96"/>
  <sheetViews>
    <sheetView topLeftCell="A50" zoomScale="90" zoomScaleNormal="90" workbookViewId="0">
      <selection activeCell="N51" sqref="N51"/>
    </sheetView>
  </sheetViews>
  <sheetFormatPr defaultRowHeight="12.75" customHeight="1" x14ac:dyDescent="0.25"/>
  <cols>
    <col min="1" max="1" width="10.453125" customWidth="1"/>
    <col min="2" max="2" width="9" customWidth="1"/>
    <col min="3" max="3" width="9.453125" customWidth="1"/>
    <col min="4" max="4" width="7.54296875" customWidth="1"/>
    <col min="5" max="5" width="6.453125" customWidth="1"/>
    <col min="6" max="6" width="9.90625" customWidth="1"/>
    <col min="7" max="7" width="8" customWidth="1"/>
    <col min="8" max="8" width="7.453125" customWidth="1"/>
    <col min="10" max="10" width="6.453125" customWidth="1"/>
    <col min="11" max="11" width="6.90625" customWidth="1"/>
    <col min="12" max="12" width="8.6328125" bestFit="1" customWidth="1"/>
    <col min="13" max="14" width="9.90625" bestFit="1" customWidth="1"/>
    <col min="15" max="15" width="10.453125" customWidth="1"/>
    <col min="16" max="16" width="8.90625" customWidth="1"/>
    <col min="17" max="18" width="8.54296875" customWidth="1"/>
    <col min="20" max="20" width="11.6328125" customWidth="1"/>
    <col min="21" max="21" width="10.453125" customWidth="1"/>
  </cols>
  <sheetData>
    <row r="7" spans="1:24" ht="13" x14ac:dyDescent="0.3">
      <c r="A7" s="1" t="s">
        <v>0</v>
      </c>
      <c r="B7" s="2" t="s">
        <v>1</v>
      </c>
      <c r="C7" s="2" t="s">
        <v>2</v>
      </c>
      <c r="D7" s="26" t="s">
        <v>52</v>
      </c>
      <c r="E7" s="75" t="s">
        <v>53</v>
      </c>
      <c r="F7" s="2" t="s">
        <v>3</v>
      </c>
      <c r="G7" s="2" t="s">
        <v>4</v>
      </c>
      <c r="H7" s="73" t="s">
        <v>54</v>
      </c>
      <c r="I7" s="74" t="s">
        <v>45</v>
      </c>
      <c r="J7" s="74" t="s">
        <v>46</v>
      </c>
      <c r="K7" s="74" t="s">
        <v>48</v>
      </c>
      <c r="L7" s="74" t="s">
        <v>47</v>
      </c>
      <c r="M7" s="74" t="s">
        <v>6</v>
      </c>
      <c r="N7" s="72" t="s">
        <v>7</v>
      </c>
      <c r="O7" s="1" t="s">
        <v>8</v>
      </c>
      <c r="P7" s="2" t="s">
        <v>10</v>
      </c>
      <c r="Q7" s="2" t="s">
        <v>1</v>
      </c>
      <c r="R7" s="2" t="s">
        <v>9</v>
      </c>
      <c r="T7" s="3" t="s">
        <v>94</v>
      </c>
      <c r="U7" s="3" t="s">
        <v>95</v>
      </c>
      <c r="W7" s="3" t="s">
        <v>87</v>
      </c>
      <c r="X7" s="3" t="s">
        <v>88</v>
      </c>
    </row>
    <row r="8" spans="1:24" ht="13" x14ac:dyDescent="0.3">
      <c r="A8" t="s">
        <v>11</v>
      </c>
      <c r="B8" s="10">
        <v>9771</v>
      </c>
      <c r="C8" s="10">
        <v>5941</v>
      </c>
      <c r="D8" s="10">
        <v>128</v>
      </c>
      <c r="E8" s="76">
        <v>5</v>
      </c>
      <c r="F8" s="10">
        <v>404</v>
      </c>
      <c r="G8" s="10">
        <v>0</v>
      </c>
      <c r="H8" s="10">
        <v>10</v>
      </c>
      <c r="I8" s="71">
        <v>0</v>
      </c>
      <c r="J8" s="71">
        <v>0</v>
      </c>
      <c r="K8" s="71">
        <v>0</v>
      </c>
      <c r="L8" s="71">
        <v>3</v>
      </c>
      <c r="M8" s="71">
        <v>2</v>
      </c>
      <c r="N8" s="31">
        <v>0</v>
      </c>
      <c r="O8" s="10">
        <f>SUM(C8:M8)</f>
        <v>6493</v>
      </c>
      <c r="P8" s="10">
        <v>6544</v>
      </c>
      <c r="Q8" s="188">
        <f>T8/W8</f>
        <v>9.1731843575418998E-2</v>
      </c>
      <c r="R8" s="179">
        <v>7.839229363893041E-2</v>
      </c>
      <c r="S8" s="22"/>
      <c r="T8" s="143">
        <v>821</v>
      </c>
      <c r="U8" s="143">
        <v>472</v>
      </c>
      <c r="W8" s="12">
        <v>8950</v>
      </c>
      <c r="X8" s="12">
        <v>6021</v>
      </c>
    </row>
    <row r="9" spans="1:24" ht="13" x14ac:dyDescent="0.3">
      <c r="A9" t="s">
        <v>12</v>
      </c>
      <c r="B9" s="10">
        <v>8995</v>
      </c>
      <c r="C9" s="10">
        <v>5446</v>
      </c>
      <c r="D9" s="10">
        <v>130</v>
      </c>
      <c r="E9" s="76">
        <v>1</v>
      </c>
      <c r="F9" s="10">
        <v>413</v>
      </c>
      <c r="G9" s="10">
        <v>0</v>
      </c>
      <c r="H9" s="10">
        <v>13</v>
      </c>
      <c r="I9" s="71">
        <v>0</v>
      </c>
      <c r="J9" s="71">
        <v>0</v>
      </c>
      <c r="K9" s="71">
        <v>0</v>
      </c>
      <c r="L9" s="71">
        <v>1</v>
      </c>
      <c r="M9" s="71">
        <v>0</v>
      </c>
      <c r="N9" s="31">
        <v>0</v>
      </c>
      <c r="O9" s="10">
        <f t="shared" ref="O9:O19" si="0">SUM(C9:M9)</f>
        <v>6004</v>
      </c>
      <c r="P9" s="10">
        <v>7130</v>
      </c>
      <c r="Q9" s="188">
        <f t="shared" ref="Q9:Q19" si="1">T9/W9</f>
        <v>1.295045045045045E-2</v>
      </c>
      <c r="R9" s="181">
        <v>-3.3172302737520129E-2</v>
      </c>
      <c r="S9" s="22"/>
      <c r="T9" s="143">
        <v>115</v>
      </c>
      <c r="U9" s="143">
        <v>-206</v>
      </c>
      <c r="W9" s="12">
        <v>8880</v>
      </c>
      <c r="X9" s="12">
        <v>6210</v>
      </c>
    </row>
    <row r="10" spans="1:24" ht="13" x14ac:dyDescent="0.3">
      <c r="A10" t="s">
        <v>13</v>
      </c>
      <c r="B10" s="10">
        <v>9702</v>
      </c>
      <c r="C10" s="10">
        <v>5820</v>
      </c>
      <c r="D10" s="10">
        <v>210</v>
      </c>
      <c r="E10" s="76">
        <v>21</v>
      </c>
      <c r="F10" s="10">
        <v>512</v>
      </c>
      <c r="G10" s="10">
        <v>0</v>
      </c>
      <c r="H10" s="10">
        <v>20</v>
      </c>
      <c r="I10" s="71">
        <v>0</v>
      </c>
      <c r="J10" s="71">
        <v>2</v>
      </c>
      <c r="K10" s="71">
        <v>0</v>
      </c>
      <c r="L10" s="71">
        <v>2</v>
      </c>
      <c r="M10" s="71">
        <v>2</v>
      </c>
      <c r="N10" s="31">
        <v>0</v>
      </c>
      <c r="O10" s="10">
        <f t="shared" si="0"/>
        <v>6589</v>
      </c>
      <c r="P10" s="10">
        <v>8902</v>
      </c>
      <c r="Q10" s="188">
        <f t="shared" si="1"/>
        <v>-0.16913590819559818</v>
      </c>
      <c r="R10" s="181">
        <v>-0.15101146759438216</v>
      </c>
      <c r="S10" s="22"/>
      <c r="T10" s="143">
        <v>-1975</v>
      </c>
      <c r="U10" s="143">
        <v>-1172</v>
      </c>
      <c r="W10" s="12">
        <v>11677</v>
      </c>
      <c r="X10" s="12">
        <v>7761</v>
      </c>
    </row>
    <row r="11" spans="1:24" ht="13" x14ac:dyDescent="0.3">
      <c r="A11" t="s">
        <v>14</v>
      </c>
      <c r="B11" s="10">
        <v>14050</v>
      </c>
      <c r="C11" s="10">
        <v>7551</v>
      </c>
      <c r="D11" s="10">
        <v>362</v>
      </c>
      <c r="E11" s="76">
        <v>48</v>
      </c>
      <c r="F11" s="10">
        <v>459</v>
      </c>
      <c r="G11" s="10">
        <v>0</v>
      </c>
      <c r="H11" s="10">
        <v>29</v>
      </c>
      <c r="I11" s="71">
        <v>0</v>
      </c>
      <c r="J11" s="71">
        <v>13</v>
      </c>
      <c r="K11" s="71">
        <v>1</v>
      </c>
      <c r="L11" s="71">
        <v>7</v>
      </c>
      <c r="M11" s="71">
        <v>3</v>
      </c>
      <c r="N11" s="31">
        <v>65</v>
      </c>
      <c r="O11" s="10">
        <f t="shared" si="0"/>
        <v>8473</v>
      </c>
      <c r="P11" s="10">
        <v>7928</v>
      </c>
      <c r="Q11" s="188">
        <f t="shared" si="1"/>
        <v>8.9062863343926824E-2</v>
      </c>
      <c r="R11" s="181">
        <v>-4.6799415007312412E-2</v>
      </c>
      <c r="S11" s="22"/>
      <c r="T11" s="143">
        <v>1149</v>
      </c>
      <c r="U11" s="143">
        <v>-416</v>
      </c>
      <c r="W11" s="12">
        <v>12901</v>
      </c>
      <c r="X11" s="12">
        <v>8889</v>
      </c>
    </row>
    <row r="12" spans="1:24" ht="13" x14ac:dyDescent="0.3">
      <c r="A12" t="s">
        <v>15</v>
      </c>
      <c r="B12" s="10">
        <v>16040</v>
      </c>
      <c r="C12" s="10">
        <v>9075</v>
      </c>
      <c r="D12" s="10">
        <v>490</v>
      </c>
      <c r="E12" s="76">
        <v>66</v>
      </c>
      <c r="F12" s="10">
        <v>573</v>
      </c>
      <c r="G12" s="10">
        <v>3</v>
      </c>
      <c r="H12" s="10">
        <v>24</v>
      </c>
      <c r="I12" s="71">
        <v>4</v>
      </c>
      <c r="J12" s="71">
        <v>10</v>
      </c>
      <c r="K12" s="71">
        <v>53</v>
      </c>
      <c r="L12" s="71">
        <v>32</v>
      </c>
      <c r="M12" s="71">
        <v>4</v>
      </c>
      <c r="N12" s="31">
        <v>48</v>
      </c>
      <c r="O12" s="10">
        <f t="shared" si="0"/>
        <v>10334</v>
      </c>
      <c r="P12" s="10">
        <v>9777</v>
      </c>
      <c r="Q12" s="188">
        <f t="shared" si="1"/>
        <v>-3.9118193254657638E-2</v>
      </c>
      <c r="R12" s="181">
        <v>-6.3355388380313599E-2</v>
      </c>
      <c r="S12" s="22"/>
      <c r="T12" s="143">
        <v>-653</v>
      </c>
      <c r="U12" s="143">
        <v>-699</v>
      </c>
      <c r="W12" s="12">
        <v>16693</v>
      </c>
      <c r="X12" s="12">
        <v>11033</v>
      </c>
    </row>
    <row r="13" spans="1:24" ht="13" x14ac:dyDescent="0.3">
      <c r="A13" t="s">
        <v>16</v>
      </c>
      <c r="B13" s="10">
        <v>17876</v>
      </c>
      <c r="C13" s="10">
        <v>9494</v>
      </c>
      <c r="D13" s="10">
        <v>469</v>
      </c>
      <c r="E13" s="76">
        <v>34</v>
      </c>
      <c r="F13" s="10">
        <v>480</v>
      </c>
      <c r="G13" s="10">
        <v>3</v>
      </c>
      <c r="H13" s="10">
        <v>12</v>
      </c>
      <c r="I13" s="71">
        <v>6</v>
      </c>
      <c r="J13" s="71">
        <v>21</v>
      </c>
      <c r="K13" s="71">
        <v>236</v>
      </c>
      <c r="L13" s="71">
        <v>38</v>
      </c>
      <c r="M13" s="71">
        <v>2</v>
      </c>
      <c r="N13" s="31">
        <v>30</v>
      </c>
      <c r="O13" s="10">
        <f t="shared" si="0"/>
        <v>10795</v>
      </c>
      <c r="P13" s="10">
        <v>7745</v>
      </c>
      <c r="Q13" s="188">
        <f t="shared" si="1"/>
        <v>-4.4983438401538629E-2</v>
      </c>
      <c r="R13" s="181">
        <v>-1.9349563953488372E-2</v>
      </c>
      <c r="S13" s="22"/>
      <c r="T13" s="143">
        <v>-842</v>
      </c>
      <c r="U13" s="143">
        <v>-213</v>
      </c>
      <c r="W13" s="12">
        <v>18718</v>
      </c>
      <c r="X13" s="12">
        <v>11008</v>
      </c>
    </row>
    <row r="14" spans="1:24" ht="13" x14ac:dyDescent="0.3">
      <c r="A14" t="s">
        <v>17</v>
      </c>
      <c r="B14" s="10">
        <v>25065</v>
      </c>
      <c r="C14" s="10">
        <v>11926</v>
      </c>
      <c r="D14" s="10">
        <v>519</v>
      </c>
      <c r="E14" s="76">
        <v>50</v>
      </c>
      <c r="F14" s="10">
        <v>384</v>
      </c>
      <c r="G14" s="10">
        <v>11</v>
      </c>
      <c r="H14" s="10">
        <v>31</v>
      </c>
      <c r="I14" s="71">
        <v>11</v>
      </c>
      <c r="J14" s="71">
        <v>37</v>
      </c>
      <c r="K14" s="71">
        <v>686</v>
      </c>
      <c r="L14" s="71">
        <v>113</v>
      </c>
      <c r="M14" s="71">
        <v>1</v>
      </c>
      <c r="N14" s="31">
        <v>56</v>
      </c>
      <c r="O14" s="10">
        <f t="shared" si="0"/>
        <v>13769</v>
      </c>
      <c r="P14" s="10">
        <v>6029</v>
      </c>
      <c r="Q14" s="188">
        <f t="shared" si="1"/>
        <v>-0.1354213376565141</v>
      </c>
      <c r="R14" s="181">
        <v>3.076807905375056E-2</v>
      </c>
      <c r="S14" s="22"/>
      <c r="T14" s="143">
        <v>-3926</v>
      </c>
      <c r="U14" s="143">
        <v>411</v>
      </c>
      <c r="W14" s="12">
        <v>28991</v>
      </c>
      <c r="X14" s="12">
        <v>13358</v>
      </c>
    </row>
    <row r="15" spans="1:24" ht="13" x14ac:dyDescent="0.3">
      <c r="A15" t="s">
        <v>18</v>
      </c>
      <c r="B15" s="10">
        <v>20393</v>
      </c>
      <c r="C15" s="10">
        <v>9977</v>
      </c>
      <c r="D15" s="10">
        <v>479</v>
      </c>
      <c r="E15" s="76">
        <v>30</v>
      </c>
      <c r="F15" s="10">
        <v>399</v>
      </c>
      <c r="G15" s="10">
        <v>17</v>
      </c>
      <c r="H15" s="10">
        <v>37</v>
      </c>
      <c r="I15" s="71">
        <v>5</v>
      </c>
      <c r="J15" s="71">
        <v>24</v>
      </c>
      <c r="K15" s="71">
        <v>341</v>
      </c>
      <c r="L15" s="71">
        <v>54</v>
      </c>
      <c r="M15" s="71">
        <v>0</v>
      </c>
      <c r="N15" s="31">
        <v>7</v>
      </c>
      <c r="O15" s="10">
        <f t="shared" si="0"/>
        <v>11363</v>
      </c>
      <c r="P15" s="10">
        <v>6439</v>
      </c>
      <c r="Q15" s="188">
        <f t="shared" si="1"/>
        <v>-6.0057153392330385E-2</v>
      </c>
      <c r="R15" s="181">
        <v>-8.6680081381362115E-2</v>
      </c>
      <c r="S15" s="22" t="s">
        <v>98</v>
      </c>
      <c r="T15" s="143">
        <v>-1303</v>
      </c>
      <c r="U15" s="143">
        <v>-1078.4236111111113</v>
      </c>
      <c r="W15" s="12">
        <v>21696</v>
      </c>
      <c r="X15" s="12">
        <v>12441.423611111111</v>
      </c>
    </row>
    <row r="16" spans="1:24" ht="13" x14ac:dyDescent="0.3">
      <c r="A16" t="s">
        <v>19</v>
      </c>
      <c r="B16" s="10">
        <v>14516</v>
      </c>
      <c r="C16" s="10">
        <v>8548</v>
      </c>
      <c r="D16" s="10">
        <v>426</v>
      </c>
      <c r="E16" s="76">
        <v>59</v>
      </c>
      <c r="F16" s="10">
        <v>452</v>
      </c>
      <c r="G16" s="10">
        <v>13</v>
      </c>
      <c r="H16" s="10">
        <v>74</v>
      </c>
      <c r="I16" s="71">
        <v>2</v>
      </c>
      <c r="J16" s="71">
        <v>12</v>
      </c>
      <c r="K16" s="71">
        <v>29</v>
      </c>
      <c r="L16" s="71">
        <v>14</v>
      </c>
      <c r="M16" s="71">
        <v>0</v>
      </c>
      <c r="N16" s="31">
        <v>2</v>
      </c>
      <c r="O16" s="10">
        <f t="shared" si="0"/>
        <v>9629</v>
      </c>
      <c r="P16" s="10">
        <v>7856</v>
      </c>
      <c r="Q16" s="188">
        <f t="shared" si="1"/>
        <v>-0.24139012281160177</v>
      </c>
      <c r="R16" s="181">
        <v>3.8279059736898859E-2</v>
      </c>
      <c r="S16" s="22"/>
      <c r="T16" s="143">
        <v>-4619</v>
      </c>
      <c r="U16" s="143">
        <v>355</v>
      </c>
      <c r="W16" s="12">
        <v>19135</v>
      </c>
      <c r="X16" s="12">
        <v>9274</v>
      </c>
    </row>
    <row r="17" spans="1:24" ht="13" x14ac:dyDescent="0.3">
      <c r="A17" t="s">
        <v>20</v>
      </c>
      <c r="B17" s="10">
        <v>12578</v>
      </c>
      <c r="C17" s="10">
        <v>7838</v>
      </c>
      <c r="D17" s="10">
        <v>339</v>
      </c>
      <c r="E17" s="76">
        <v>65</v>
      </c>
      <c r="F17" s="10">
        <v>455</v>
      </c>
      <c r="G17" s="10">
        <v>0</v>
      </c>
      <c r="H17" s="10">
        <v>55</v>
      </c>
      <c r="I17" s="71">
        <v>2</v>
      </c>
      <c r="J17" s="71">
        <v>7</v>
      </c>
      <c r="K17" s="71">
        <v>1</v>
      </c>
      <c r="L17" s="71">
        <v>6</v>
      </c>
      <c r="M17" s="71">
        <v>0</v>
      </c>
      <c r="N17" s="31">
        <v>0</v>
      </c>
      <c r="O17" s="10">
        <f t="shared" si="0"/>
        <v>8768</v>
      </c>
      <c r="P17" s="10">
        <v>7657</v>
      </c>
      <c r="Q17" s="188">
        <f t="shared" si="1"/>
        <v>-3.1865763546798029E-2</v>
      </c>
      <c r="R17" s="181">
        <v>-3.5105095190932099E-2</v>
      </c>
      <c r="S17" s="22"/>
      <c r="T17" s="143">
        <v>-414</v>
      </c>
      <c r="U17" s="143">
        <v>-319</v>
      </c>
      <c r="W17" s="12">
        <v>12992</v>
      </c>
      <c r="X17" s="12">
        <v>9087</v>
      </c>
    </row>
    <row r="18" spans="1:24" ht="13" x14ac:dyDescent="0.3">
      <c r="A18" t="s">
        <v>21</v>
      </c>
      <c r="B18" s="10">
        <v>11047</v>
      </c>
      <c r="C18" s="10">
        <v>6869</v>
      </c>
      <c r="D18" s="10">
        <v>273</v>
      </c>
      <c r="E18" s="76">
        <v>29</v>
      </c>
      <c r="F18" s="10">
        <v>363</v>
      </c>
      <c r="G18" s="10">
        <v>0</v>
      </c>
      <c r="H18" s="10">
        <v>37</v>
      </c>
      <c r="I18" s="71">
        <v>0</v>
      </c>
      <c r="J18" s="71">
        <v>8</v>
      </c>
      <c r="K18" s="71">
        <v>0</v>
      </c>
      <c r="L18" s="71">
        <v>1</v>
      </c>
      <c r="M18" s="71">
        <v>2</v>
      </c>
      <c r="N18" s="31">
        <v>0</v>
      </c>
      <c r="O18" s="10">
        <f t="shared" si="0"/>
        <v>7582</v>
      </c>
      <c r="P18" s="10">
        <v>6115</v>
      </c>
      <c r="Q18" s="188">
        <f t="shared" si="1"/>
        <v>3.0311509046819625E-2</v>
      </c>
      <c r="R18" s="181">
        <v>2.2108385009436505E-2</v>
      </c>
      <c r="S18" s="22"/>
      <c r="T18" s="143">
        <v>325</v>
      </c>
      <c r="U18" s="143">
        <v>164</v>
      </c>
      <c r="W18" s="12">
        <v>10722</v>
      </c>
      <c r="X18" s="12">
        <v>7418</v>
      </c>
    </row>
    <row r="19" spans="1:24" ht="13" x14ac:dyDescent="0.3">
      <c r="A19" s="4" t="s">
        <v>22</v>
      </c>
      <c r="B19" s="11">
        <v>9647</v>
      </c>
      <c r="C19" s="11">
        <v>6029</v>
      </c>
      <c r="D19" s="11">
        <v>181</v>
      </c>
      <c r="E19" s="77">
        <v>6</v>
      </c>
      <c r="F19" s="11">
        <v>280</v>
      </c>
      <c r="G19" s="11">
        <v>0</v>
      </c>
      <c r="H19" s="11">
        <v>22</v>
      </c>
      <c r="I19" s="78">
        <v>0</v>
      </c>
      <c r="J19" s="78">
        <v>3</v>
      </c>
      <c r="K19" s="78">
        <v>0</v>
      </c>
      <c r="L19" s="78">
        <v>0</v>
      </c>
      <c r="M19" s="78">
        <v>0</v>
      </c>
      <c r="N19" s="30">
        <v>0</v>
      </c>
      <c r="O19" s="10">
        <f t="shared" si="0"/>
        <v>6521</v>
      </c>
      <c r="P19" s="11">
        <v>4617</v>
      </c>
      <c r="Q19" s="189">
        <f t="shared" si="1"/>
        <v>-9.0934790802864679E-2</v>
      </c>
      <c r="R19" s="184">
        <v>-5.204244803023695E-2</v>
      </c>
      <c r="S19" s="22"/>
      <c r="T19" s="169">
        <v>-965</v>
      </c>
      <c r="U19" s="169">
        <v>-358</v>
      </c>
      <c r="W19" s="20">
        <v>10612</v>
      </c>
      <c r="X19" s="12">
        <v>6879</v>
      </c>
    </row>
    <row r="20" spans="1:24" ht="13" x14ac:dyDescent="0.3">
      <c r="A20" s="3" t="s">
        <v>93</v>
      </c>
      <c r="B20" s="8">
        <f t="shared" ref="B20:J20" si="2">SUM(B8:B19)</f>
        <v>169680</v>
      </c>
      <c r="C20" s="8">
        <f t="shared" si="2"/>
        <v>94514</v>
      </c>
      <c r="D20" s="8">
        <f t="shared" si="2"/>
        <v>4006</v>
      </c>
      <c r="E20" s="8">
        <f t="shared" si="2"/>
        <v>414</v>
      </c>
      <c r="F20" s="8">
        <f t="shared" si="2"/>
        <v>5174</v>
      </c>
      <c r="G20" s="8">
        <f t="shared" si="2"/>
        <v>47</v>
      </c>
      <c r="H20" s="8">
        <f t="shared" si="2"/>
        <v>364</v>
      </c>
      <c r="I20" s="8">
        <f t="shared" si="2"/>
        <v>30</v>
      </c>
      <c r="J20" s="8">
        <f t="shared" si="2"/>
        <v>137</v>
      </c>
      <c r="K20" s="8">
        <f>SUM(K8:K19)</f>
        <v>1347</v>
      </c>
      <c r="L20" s="8">
        <f t="shared" ref="L20:P20" si="3">SUM(L8:L19)</f>
        <v>271</v>
      </c>
      <c r="M20" s="8">
        <f t="shared" si="3"/>
        <v>16</v>
      </c>
      <c r="N20" s="31">
        <f t="shared" si="3"/>
        <v>208</v>
      </c>
      <c r="O20" s="8">
        <f t="shared" si="3"/>
        <v>106320</v>
      </c>
      <c r="P20" s="8">
        <f t="shared" si="3"/>
        <v>86739</v>
      </c>
      <c r="Q20" s="186">
        <f>T20/W20</f>
        <v>-6.7523232234416128E-2</v>
      </c>
      <c r="R20" s="190">
        <v>-2.7970741754762048E-2</v>
      </c>
      <c r="S20" s="22"/>
      <c r="T20" s="143">
        <v>-12287</v>
      </c>
      <c r="U20" s="143">
        <v>-3059.4236111111113</v>
      </c>
      <c r="W20" s="12">
        <v>181967</v>
      </c>
      <c r="X20" s="12">
        <v>109379.42361111111</v>
      </c>
    </row>
    <row r="21" spans="1:24" ht="13" x14ac:dyDescent="0.3">
      <c r="A21" s="5" t="s">
        <v>86</v>
      </c>
      <c r="B21" s="9">
        <v>183484.44791666666</v>
      </c>
      <c r="C21" s="9">
        <v>101559</v>
      </c>
      <c r="D21" s="9">
        <v>4280.4236111111113</v>
      </c>
      <c r="E21" s="9">
        <v>371</v>
      </c>
      <c r="F21" s="9">
        <v>5183</v>
      </c>
      <c r="G21" s="9">
        <v>71</v>
      </c>
      <c r="H21" s="9">
        <v>457</v>
      </c>
      <c r="I21" s="9">
        <v>61</v>
      </c>
      <c r="J21" s="9">
        <v>124</v>
      </c>
      <c r="K21" s="9">
        <v>1446</v>
      </c>
      <c r="L21" s="9">
        <v>384</v>
      </c>
      <c r="M21" s="9">
        <v>0</v>
      </c>
      <c r="N21" s="9">
        <v>426</v>
      </c>
      <c r="O21" s="9">
        <v>111697</v>
      </c>
      <c r="P21" s="9">
        <v>86467.5</v>
      </c>
      <c r="Q21" s="47"/>
      <c r="R21" s="120"/>
    </row>
    <row r="22" spans="1:24" ht="13" x14ac:dyDescent="0.3">
      <c r="A22" s="5" t="s">
        <v>23</v>
      </c>
      <c r="B22" s="9">
        <f t="shared" ref="B22:J22" si="4">B20-B21</f>
        <v>-13804.447916666657</v>
      </c>
      <c r="C22" s="9">
        <f t="shared" si="4"/>
        <v>-7045</v>
      </c>
      <c r="D22" s="9">
        <f t="shared" si="4"/>
        <v>-274.42361111111131</v>
      </c>
      <c r="E22" s="9">
        <f t="shared" si="4"/>
        <v>43</v>
      </c>
      <c r="F22" s="9">
        <f t="shared" si="4"/>
        <v>-9</v>
      </c>
      <c r="G22" s="9">
        <f t="shared" si="4"/>
        <v>-24</v>
      </c>
      <c r="H22" s="9">
        <f t="shared" si="4"/>
        <v>-93</v>
      </c>
      <c r="I22" s="9">
        <f t="shared" si="4"/>
        <v>-31</v>
      </c>
      <c r="J22" s="9">
        <f t="shared" si="4"/>
        <v>13</v>
      </c>
      <c r="K22" s="9">
        <f>K20-K21</f>
        <v>-99</v>
      </c>
      <c r="L22" s="9">
        <f t="shared" ref="L22:P22" si="5">L20-L21</f>
        <v>-113</v>
      </c>
      <c r="M22" s="9">
        <f t="shared" si="5"/>
        <v>16</v>
      </c>
      <c r="N22" s="30">
        <f t="shared" si="5"/>
        <v>-218</v>
      </c>
      <c r="O22" s="9">
        <f t="shared" si="5"/>
        <v>-5377</v>
      </c>
      <c r="P22" s="9">
        <f t="shared" si="5"/>
        <v>271.5</v>
      </c>
      <c r="Q22" s="48"/>
      <c r="R22" s="158"/>
    </row>
    <row r="32" spans="1:24" ht="12.75" customHeight="1" x14ac:dyDescent="0.3">
      <c r="A32" s="1" t="s">
        <v>0</v>
      </c>
      <c r="B32" s="2" t="s">
        <v>1</v>
      </c>
      <c r="C32" s="2" t="s">
        <v>2</v>
      </c>
      <c r="D32" s="26" t="s">
        <v>52</v>
      </c>
      <c r="E32" s="75" t="s">
        <v>53</v>
      </c>
      <c r="F32" s="2" t="s">
        <v>3</v>
      </c>
      <c r="G32" s="2" t="s">
        <v>4</v>
      </c>
      <c r="H32" s="73" t="s">
        <v>54</v>
      </c>
      <c r="I32" s="74" t="s">
        <v>45</v>
      </c>
      <c r="J32" s="74" t="s">
        <v>46</v>
      </c>
      <c r="K32" s="74" t="s">
        <v>48</v>
      </c>
      <c r="L32" s="74" t="s">
        <v>47</v>
      </c>
      <c r="M32" s="74" t="s">
        <v>6</v>
      </c>
      <c r="N32" s="72" t="s">
        <v>7</v>
      </c>
      <c r="O32" s="1" t="s">
        <v>8</v>
      </c>
      <c r="P32" s="2" t="s">
        <v>10</v>
      </c>
      <c r="Q32" s="2" t="s">
        <v>1</v>
      </c>
      <c r="R32" s="2" t="s">
        <v>9</v>
      </c>
      <c r="T32" s="3" t="s">
        <v>103</v>
      </c>
      <c r="U32" s="3" t="s">
        <v>104</v>
      </c>
      <c r="W32" s="3" t="s">
        <v>94</v>
      </c>
      <c r="X32" s="3" t="s">
        <v>105</v>
      </c>
    </row>
    <row r="33" spans="1:24" ht="12.75" customHeight="1" x14ac:dyDescent="0.3">
      <c r="A33" t="s">
        <v>11</v>
      </c>
      <c r="B33" s="10">
        <v>9594</v>
      </c>
      <c r="C33" s="10">
        <v>6143</v>
      </c>
      <c r="D33" s="10">
        <v>194</v>
      </c>
      <c r="E33" s="76">
        <v>9</v>
      </c>
      <c r="F33" s="10">
        <v>341</v>
      </c>
      <c r="G33" s="10">
        <v>0</v>
      </c>
      <c r="H33" s="10">
        <v>27</v>
      </c>
      <c r="I33" s="71">
        <v>0</v>
      </c>
      <c r="J33" s="71">
        <v>0</v>
      </c>
      <c r="K33" s="71">
        <v>0</v>
      </c>
      <c r="L33" s="71">
        <v>0</v>
      </c>
      <c r="M33" s="71">
        <v>0</v>
      </c>
      <c r="N33" s="31">
        <v>0</v>
      </c>
      <c r="O33" s="10">
        <f>SUM(C33:M33)</f>
        <v>6714</v>
      </c>
      <c r="P33" s="10">
        <v>5623</v>
      </c>
      <c r="Q33" s="188">
        <f>T33/W33</f>
        <v>-1.8114829597789376E-2</v>
      </c>
      <c r="R33" s="179">
        <f>U33/X33</f>
        <v>3.4036654859079009E-2</v>
      </c>
      <c r="S33" s="22"/>
      <c r="T33" s="143">
        <f t="shared" ref="T33:T44" si="6">B33-W33</f>
        <v>-177</v>
      </c>
      <c r="U33" s="143">
        <f>O33-X33</f>
        <v>221</v>
      </c>
      <c r="W33" s="12">
        <f t="shared" ref="W33:W44" si="7">B8</f>
        <v>9771</v>
      </c>
      <c r="X33" s="12">
        <f t="shared" ref="X33:X44" si="8">O8</f>
        <v>6493</v>
      </c>
    </row>
    <row r="34" spans="1:24" ht="12.75" customHeight="1" x14ac:dyDescent="0.3">
      <c r="A34" t="s">
        <v>12</v>
      </c>
      <c r="B34" s="10">
        <v>8160</v>
      </c>
      <c r="C34" s="10">
        <v>5204</v>
      </c>
      <c r="D34" s="10">
        <v>166</v>
      </c>
      <c r="E34" s="76">
        <v>0</v>
      </c>
      <c r="F34" s="10">
        <v>368</v>
      </c>
      <c r="G34" s="10">
        <v>0</v>
      </c>
      <c r="H34" s="10">
        <v>15</v>
      </c>
      <c r="I34" s="71">
        <v>0</v>
      </c>
      <c r="J34" s="71">
        <v>0</v>
      </c>
      <c r="K34" s="71">
        <v>0</v>
      </c>
      <c r="L34" s="71">
        <v>0</v>
      </c>
      <c r="M34" s="71">
        <v>0</v>
      </c>
      <c r="N34" s="31">
        <v>0</v>
      </c>
      <c r="O34" s="10">
        <f t="shared" ref="O34:O42" si="9">SUM(C34:M34)</f>
        <v>5753</v>
      </c>
      <c r="P34" s="10">
        <v>5980</v>
      </c>
      <c r="Q34" s="188">
        <f t="shared" ref="Q34:Q44" si="10">T34/W34</f>
        <v>-9.2829349638688163E-2</v>
      </c>
      <c r="R34" s="181">
        <f t="shared" ref="R34:R44" si="11">U34/X34</f>
        <v>-4.1805463024650234E-2</v>
      </c>
      <c r="S34" s="22"/>
      <c r="T34" s="143">
        <f t="shared" si="6"/>
        <v>-835</v>
      </c>
      <c r="U34" s="143">
        <f t="shared" ref="U34:U44" si="12">O34-X34</f>
        <v>-251</v>
      </c>
      <c r="W34" s="12">
        <f t="shared" si="7"/>
        <v>8995</v>
      </c>
      <c r="X34" s="12">
        <f t="shared" si="8"/>
        <v>6004</v>
      </c>
    </row>
    <row r="35" spans="1:24" ht="12.75" customHeight="1" x14ac:dyDescent="0.3">
      <c r="A35" t="s">
        <v>13</v>
      </c>
      <c r="B35" s="10">
        <v>10557</v>
      </c>
      <c r="C35" s="10">
        <v>6609</v>
      </c>
      <c r="D35" s="10">
        <v>208</v>
      </c>
      <c r="E35" s="76">
        <v>1</v>
      </c>
      <c r="F35" s="10">
        <v>541</v>
      </c>
      <c r="G35" s="10">
        <v>0</v>
      </c>
      <c r="H35" s="10">
        <v>17</v>
      </c>
      <c r="I35" s="71">
        <v>0</v>
      </c>
      <c r="J35" s="71">
        <v>0</v>
      </c>
      <c r="K35" s="71">
        <v>0</v>
      </c>
      <c r="L35" s="71">
        <v>0</v>
      </c>
      <c r="M35" s="71">
        <v>0</v>
      </c>
      <c r="N35" s="31">
        <v>0</v>
      </c>
      <c r="O35" s="10">
        <f t="shared" si="9"/>
        <v>7376</v>
      </c>
      <c r="P35" s="10">
        <v>9553</v>
      </c>
      <c r="Q35" s="188">
        <f t="shared" si="10"/>
        <v>8.8126159554730979E-2</v>
      </c>
      <c r="R35" s="181">
        <f t="shared" si="11"/>
        <v>0.11944149339808773</v>
      </c>
      <c r="S35" s="22"/>
      <c r="T35" s="143">
        <f t="shared" si="6"/>
        <v>855</v>
      </c>
      <c r="U35" s="143">
        <f t="shared" si="12"/>
        <v>787</v>
      </c>
      <c r="W35" s="12">
        <f t="shared" si="7"/>
        <v>9702</v>
      </c>
      <c r="X35" s="12">
        <f t="shared" si="8"/>
        <v>6589</v>
      </c>
    </row>
    <row r="36" spans="1:24" ht="12.75" customHeight="1" x14ac:dyDescent="0.3">
      <c r="A36" t="s">
        <v>14</v>
      </c>
      <c r="B36" s="10">
        <f>8805+4349</f>
        <v>13154</v>
      </c>
      <c r="C36" s="10">
        <f>5111+2425</f>
        <v>7536</v>
      </c>
      <c r="D36" s="10">
        <f>305+86</f>
        <v>391</v>
      </c>
      <c r="E36" s="76">
        <f>51+2</f>
        <v>53</v>
      </c>
      <c r="F36" s="10">
        <f>337+165</f>
        <v>502</v>
      </c>
      <c r="G36" s="10">
        <v>0</v>
      </c>
      <c r="H36" s="10">
        <f>28+4</f>
        <v>32</v>
      </c>
      <c r="I36" s="71">
        <v>0</v>
      </c>
      <c r="J36" s="71">
        <f>2+1</f>
        <v>3</v>
      </c>
      <c r="K36" s="71">
        <f>7+3</f>
        <v>10</v>
      </c>
      <c r="L36" s="71">
        <f>10+1</f>
        <v>11</v>
      </c>
      <c r="M36" s="71">
        <f>2+9</f>
        <v>11</v>
      </c>
      <c r="N36" s="31">
        <f>7+28</f>
        <v>35</v>
      </c>
      <c r="O36" s="10">
        <f t="shared" si="9"/>
        <v>8549</v>
      </c>
      <c r="P36" s="10">
        <f>5972+3124</f>
        <v>9096</v>
      </c>
      <c r="Q36" s="188">
        <f t="shared" si="10"/>
        <v>-6.3772241992882561E-2</v>
      </c>
      <c r="R36" s="181">
        <f t="shared" si="11"/>
        <v>8.9696683583146471E-3</v>
      </c>
      <c r="S36" s="22"/>
      <c r="T36" s="143">
        <f t="shared" si="6"/>
        <v>-896</v>
      </c>
      <c r="U36" s="143">
        <f t="shared" si="12"/>
        <v>76</v>
      </c>
      <c r="W36" s="12">
        <f t="shared" si="7"/>
        <v>14050</v>
      </c>
      <c r="X36" s="12">
        <f t="shared" si="8"/>
        <v>8473</v>
      </c>
    </row>
    <row r="37" spans="1:24" ht="12.75" customHeight="1" x14ac:dyDescent="0.3">
      <c r="A37" t="s">
        <v>15</v>
      </c>
      <c r="B37" s="10">
        <v>16551</v>
      </c>
      <c r="C37" s="10">
        <v>9675</v>
      </c>
      <c r="D37" s="10">
        <v>616</v>
      </c>
      <c r="E37" s="76">
        <v>74</v>
      </c>
      <c r="F37" s="10">
        <v>545</v>
      </c>
      <c r="G37" s="10">
        <v>10</v>
      </c>
      <c r="H37" s="10">
        <v>25</v>
      </c>
      <c r="I37" s="71">
        <v>0</v>
      </c>
      <c r="J37" s="71">
        <v>12</v>
      </c>
      <c r="K37" s="71">
        <v>40</v>
      </c>
      <c r="L37" s="71">
        <v>18</v>
      </c>
      <c r="M37" s="71">
        <v>0</v>
      </c>
      <c r="N37" s="31">
        <v>50</v>
      </c>
      <c r="O37" s="10">
        <f t="shared" si="9"/>
        <v>11015</v>
      </c>
      <c r="P37" s="10">
        <v>9398</v>
      </c>
      <c r="Q37" s="188">
        <f t="shared" si="10"/>
        <v>3.1857855361596008E-2</v>
      </c>
      <c r="R37" s="181">
        <f t="shared" si="11"/>
        <v>6.5898974259725185E-2</v>
      </c>
      <c r="S37" s="22"/>
      <c r="T37" s="143">
        <f t="shared" si="6"/>
        <v>511</v>
      </c>
      <c r="U37" s="143">
        <f t="shared" si="12"/>
        <v>681</v>
      </c>
      <c r="W37" s="12">
        <f t="shared" si="7"/>
        <v>16040</v>
      </c>
      <c r="X37" s="12">
        <f t="shared" si="8"/>
        <v>10334</v>
      </c>
    </row>
    <row r="38" spans="1:24" ht="12.75" customHeight="1" x14ac:dyDescent="0.3">
      <c r="A38" t="s">
        <v>16</v>
      </c>
      <c r="B38" s="10">
        <v>19358</v>
      </c>
      <c r="C38" s="10">
        <v>10027</v>
      </c>
      <c r="D38" s="10">
        <v>650</v>
      </c>
      <c r="E38" s="76">
        <v>70</v>
      </c>
      <c r="F38" s="10">
        <v>501</v>
      </c>
      <c r="G38" s="10">
        <v>7</v>
      </c>
      <c r="H38" s="10">
        <v>31</v>
      </c>
      <c r="I38" s="71">
        <v>3</v>
      </c>
      <c r="J38" s="71">
        <v>34</v>
      </c>
      <c r="K38" s="71">
        <v>265</v>
      </c>
      <c r="L38" s="71">
        <v>122</v>
      </c>
      <c r="M38" s="71">
        <v>1</v>
      </c>
      <c r="N38" s="31">
        <v>30</v>
      </c>
      <c r="O38" s="10">
        <f t="shared" si="9"/>
        <v>11711</v>
      </c>
      <c r="P38" s="10">
        <v>8589</v>
      </c>
      <c r="Q38" s="188">
        <f t="shared" si="10"/>
        <v>8.2904452897739983E-2</v>
      </c>
      <c r="R38" s="181">
        <f t="shared" si="11"/>
        <v>8.4854099119962945E-2</v>
      </c>
      <c r="S38" s="22"/>
      <c r="T38" s="143">
        <f t="shared" si="6"/>
        <v>1482</v>
      </c>
      <c r="U38" s="143">
        <f t="shared" si="12"/>
        <v>916</v>
      </c>
      <c r="W38" s="12">
        <f t="shared" si="7"/>
        <v>17876</v>
      </c>
      <c r="X38" s="12">
        <f t="shared" si="8"/>
        <v>10795</v>
      </c>
    </row>
    <row r="39" spans="1:24" ht="12.75" customHeight="1" x14ac:dyDescent="0.3">
      <c r="A39" t="s">
        <v>17</v>
      </c>
      <c r="B39" s="10">
        <v>24959</v>
      </c>
      <c r="C39" s="10">
        <v>12109</v>
      </c>
      <c r="D39" s="10">
        <v>550</v>
      </c>
      <c r="E39" s="76">
        <v>93</v>
      </c>
      <c r="F39" s="10">
        <v>461</v>
      </c>
      <c r="G39" s="10">
        <v>7</v>
      </c>
      <c r="H39" s="10">
        <v>19</v>
      </c>
      <c r="I39" s="71">
        <v>7</v>
      </c>
      <c r="J39" s="71">
        <v>36</v>
      </c>
      <c r="K39" s="71">
        <v>681</v>
      </c>
      <c r="L39" s="71">
        <v>81</v>
      </c>
      <c r="M39" s="71">
        <v>5</v>
      </c>
      <c r="N39" s="31">
        <v>0</v>
      </c>
      <c r="O39" s="10">
        <f t="shared" si="9"/>
        <v>14049</v>
      </c>
      <c r="P39" s="10">
        <v>6933</v>
      </c>
      <c r="Q39" s="188">
        <f t="shared" si="10"/>
        <v>-4.2290045880710152E-3</v>
      </c>
      <c r="R39" s="181">
        <f t="shared" si="11"/>
        <v>2.0335536349771224E-2</v>
      </c>
      <c r="S39" s="22"/>
      <c r="T39" s="143">
        <f t="shared" si="6"/>
        <v>-106</v>
      </c>
      <c r="U39" s="143">
        <f t="shared" si="12"/>
        <v>280</v>
      </c>
      <c r="W39" s="12">
        <f t="shared" si="7"/>
        <v>25065</v>
      </c>
      <c r="X39" s="12">
        <f t="shared" si="8"/>
        <v>13769</v>
      </c>
    </row>
    <row r="40" spans="1:24" ht="12.75" customHeight="1" x14ac:dyDescent="0.3">
      <c r="A40" t="s">
        <v>18</v>
      </c>
      <c r="B40" s="10">
        <v>20003</v>
      </c>
      <c r="C40" s="10">
        <v>10499</v>
      </c>
      <c r="D40" s="10">
        <v>496</v>
      </c>
      <c r="E40" s="76">
        <v>62</v>
      </c>
      <c r="F40" s="10">
        <v>481</v>
      </c>
      <c r="G40" s="10">
        <v>8</v>
      </c>
      <c r="H40" s="10">
        <v>48</v>
      </c>
      <c r="I40" s="71">
        <v>7</v>
      </c>
      <c r="J40" s="71">
        <v>20</v>
      </c>
      <c r="K40" s="71">
        <v>350</v>
      </c>
      <c r="L40" s="71">
        <v>65</v>
      </c>
      <c r="M40" s="71">
        <v>1</v>
      </c>
      <c r="N40" s="31">
        <v>1</v>
      </c>
      <c r="O40" s="10">
        <f t="shared" si="9"/>
        <v>12037</v>
      </c>
      <c r="P40" s="10">
        <v>7901</v>
      </c>
      <c r="Q40" s="188">
        <f t="shared" si="10"/>
        <v>-1.9124209287500613E-2</v>
      </c>
      <c r="R40" s="181">
        <f t="shared" si="11"/>
        <v>5.931532165801285E-2</v>
      </c>
      <c r="S40" s="22"/>
      <c r="T40" s="143">
        <f t="shared" si="6"/>
        <v>-390</v>
      </c>
      <c r="U40" s="143">
        <f t="shared" si="12"/>
        <v>674</v>
      </c>
      <c r="W40" s="12">
        <f t="shared" si="7"/>
        <v>20393</v>
      </c>
      <c r="X40" s="12">
        <f t="shared" si="8"/>
        <v>11363</v>
      </c>
    </row>
    <row r="41" spans="1:24" ht="12.75" customHeight="1" x14ac:dyDescent="0.3">
      <c r="A41" t="s">
        <v>19</v>
      </c>
      <c r="B41" s="10">
        <f>2880+12022</f>
        <v>14902</v>
      </c>
      <c r="C41" s="10">
        <f>1563+6808</f>
        <v>8371</v>
      </c>
      <c r="D41" s="10">
        <f>61+411</f>
        <v>472</v>
      </c>
      <c r="E41" s="76">
        <f>5+36</f>
        <v>41</v>
      </c>
      <c r="F41" s="10">
        <f>103+408</f>
        <v>511</v>
      </c>
      <c r="G41" s="10">
        <v>5</v>
      </c>
      <c r="H41" s="10">
        <f>2+44</f>
        <v>46</v>
      </c>
      <c r="I41" s="71">
        <v>1</v>
      </c>
      <c r="J41" s="71">
        <v>9</v>
      </c>
      <c r="K41" s="71">
        <v>35</v>
      </c>
      <c r="L41" s="71">
        <v>28</v>
      </c>
      <c r="M41" s="71">
        <v>0</v>
      </c>
      <c r="N41" s="31">
        <v>43</v>
      </c>
      <c r="O41" s="10">
        <f t="shared" si="9"/>
        <v>9519</v>
      </c>
      <c r="P41" s="10">
        <v>2010</v>
      </c>
      <c r="Q41" s="188">
        <f t="shared" si="10"/>
        <v>2.6591347478644254E-2</v>
      </c>
      <c r="R41" s="181">
        <f t="shared" si="11"/>
        <v>-1.1423823865406585E-2</v>
      </c>
      <c r="S41" s="22" t="s">
        <v>124</v>
      </c>
      <c r="T41" s="143">
        <f t="shared" si="6"/>
        <v>386</v>
      </c>
      <c r="U41" s="143">
        <f t="shared" si="12"/>
        <v>-110</v>
      </c>
      <c r="W41" s="12">
        <f t="shared" si="7"/>
        <v>14516</v>
      </c>
      <c r="X41" s="12">
        <f t="shared" si="8"/>
        <v>9629</v>
      </c>
    </row>
    <row r="42" spans="1:24" ht="12.75" customHeight="1" x14ac:dyDescent="0.3">
      <c r="A42" t="s">
        <v>20</v>
      </c>
      <c r="B42" s="10">
        <f>2316+10675</f>
        <v>12991</v>
      </c>
      <c r="C42" s="10">
        <f>1414+6424</f>
        <v>7838</v>
      </c>
      <c r="D42" s="10">
        <f>46+319</f>
        <v>365</v>
      </c>
      <c r="E42" s="76">
        <f>4+59</f>
        <v>63</v>
      </c>
      <c r="F42" s="10">
        <f>76+314</f>
        <v>390</v>
      </c>
      <c r="G42" s="10">
        <f>2+2</f>
        <v>4</v>
      </c>
      <c r="H42" s="10">
        <f>2+23</f>
        <v>25</v>
      </c>
      <c r="I42" s="71">
        <v>2</v>
      </c>
      <c r="J42" s="71">
        <f>3+4</f>
        <v>7</v>
      </c>
      <c r="K42" s="71">
        <v>5</v>
      </c>
      <c r="L42" s="71">
        <v>7</v>
      </c>
      <c r="M42" s="71">
        <v>5</v>
      </c>
      <c r="N42" s="31">
        <f>17</f>
        <v>17</v>
      </c>
      <c r="O42" s="10">
        <f t="shared" si="9"/>
        <v>8711</v>
      </c>
      <c r="P42" s="10">
        <f>1720+5247</f>
        <v>6967</v>
      </c>
      <c r="Q42" s="188">
        <f t="shared" si="10"/>
        <v>3.28351089203371E-2</v>
      </c>
      <c r="R42" s="181">
        <f t="shared" si="11"/>
        <v>-6.500912408759124E-3</v>
      </c>
      <c r="S42" s="22" t="s">
        <v>124</v>
      </c>
      <c r="T42" s="143">
        <f t="shared" si="6"/>
        <v>413</v>
      </c>
      <c r="U42" s="143">
        <f t="shared" si="12"/>
        <v>-57</v>
      </c>
      <c r="W42" s="12">
        <f t="shared" si="7"/>
        <v>12578</v>
      </c>
      <c r="X42" s="12">
        <f t="shared" si="8"/>
        <v>8768</v>
      </c>
    </row>
    <row r="43" spans="1:24" ht="12.75" customHeight="1" x14ac:dyDescent="0.3">
      <c r="A43" t="s">
        <v>21</v>
      </c>
      <c r="B43" s="10">
        <v>11421</v>
      </c>
      <c r="C43" s="10">
        <v>6910</v>
      </c>
      <c r="D43" s="10">
        <v>292</v>
      </c>
      <c r="E43" s="76">
        <v>36</v>
      </c>
      <c r="F43" s="10">
        <v>279</v>
      </c>
      <c r="G43" s="10">
        <v>0</v>
      </c>
      <c r="H43" s="10">
        <v>20</v>
      </c>
      <c r="I43" s="71">
        <v>0</v>
      </c>
      <c r="J43" s="71">
        <v>0</v>
      </c>
      <c r="K43" s="71">
        <v>0</v>
      </c>
      <c r="L43" s="71">
        <v>1</v>
      </c>
      <c r="M43" s="71">
        <v>0</v>
      </c>
      <c r="N43" s="31">
        <v>0</v>
      </c>
      <c r="O43" s="10">
        <v>7538</v>
      </c>
      <c r="P43" s="10">
        <v>4518</v>
      </c>
      <c r="Q43" s="188">
        <f t="shared" si="10"/>
        <v>3.3855345342626957E-2</v>
      </c>
      <c r="R43" s="181">
        <f t="shared" si="11"/>
        <v>-5.803218148245845E-3</v>
      </c>
      <c r="S43" s="22"/>
      <c r="T43" s="143">
        <f t="shared" si="6"/>
        <v>374</v>
      </c>
      <c r="U43" s="143">
        <f t="shared" si="12"/>
        <v>-44</v>
      </c>
      <c r="W43" s="12">
        <f t="shared" si="7"/>
        <v>11047</v>
      </c>
      <c r="X43" s="12">
        <f t="shared" si="8"/>
        <v>7582</v>
      </c>
    </row>
    <row r="44" spans="1:24" ht="12.75" customHeight="1" x14ac:dyDescent="0.3">
      <c r="A44" s="4" t="s">
        <v>22</v>
      </c>
      <c r="B44" s="11">
        <v>10395</v>
      </c>
      <c r="C44" s="11">
        <v>6400</v>
      </c>
      <c r="D44" s="11">
        <v>198</v>
      </c>
      <c r="E44" s="77">
        <v>23</v>
      </c>
      <c r="F44" s="11">
        <v>196</v>
      </c>
      <c r="G44" s="11">
        <v>0</v>
      </c>
      <c r="H44" s="11">
        <v>9</v>
      </c>
      <c r="I44" s="78">
        <v>1</v>
      </c>
      <c r="J44" s="78">
        <v>3</v>
      </c>
      <c r="K44" s="78">
        <v>1</v>
      </c>
      <c r="L44" s="78">
        <v>0</v>
      </c>
      <c r="M44" s="78">
        <v>2</v>
      </c>
      <c r="N44" s="30">
        <v>0</v>
      </c>
      <c r="O44" s="11">
        <v>6833</v>
      </c>
      <c r="P44" s="11">
        <v>3247</v>
      </c>
      <c r="Q44" s="189">
        <f t="shared" si="10"/>
        <v>7.7537058152793617E-2</v>
      </c>
      <c r="R44" s="184">
        <f t="shared" si="11"/>
        <v>4.7845422481214539E-2</v>
      </c>
      <c r="S44" s="22"/>
      <c r="T44" s="169">
        <f t="shared" si="6"/>
        <v>748</v>
      </c>
      <c r="U44" s="169">
        <f t="shared" si="12"/>
        <v>312</v>
      </c>
      <c r="W44" s="20">
        <f t="shared" si="7"/>
        <v>9647</v>
      </c>
      <c r="X44" s="20">
        <f t="shared" si="8"/>
        <v>6521</v>
      </c>
    </row>
    <row r="45" spans="1:24" ht="12.75" customHeight="1" x14ac:dyDescent="0.3">
      <c r="A45" s="3" t="s">
        <v>106</v>
      </c>
      <c r="B45" s="8">
        <f t="shared" ref="B45:J45" si="13">SUM(B33:B44)</f>
        <v>172045</v>
      </c>
      <c r="C45" s="8">
        <f t="shared" si="13"/>
        <v>97321</v>
      </c>
      <c r="D45" s="8">
        <f t="shared" si="13"/>
        <v>4598</v>
      </c>
      <c r="E45" s="8">
        <f t="shared" si="13"/>
        <v>525</v>
      </c>
      <c r="F45" s="8">
        <f t="shared" si="13"/>
        <v>5116</v>
      </c>
      <c r="G45" s="8">
        <f t="shared" si="13"/>
        <v>41</v>
      </c>
      <c r="H45" s="8">
        <f t="shared" si="13"/>
        <v>314</v>
      </c>
      <c r="I45" s="8">
        <f t="shared" si="13"/>
        <v>21</v>
      </c>
      <c r="J45" s="8">
        <f t="shared" si="13"/>
        <v>124</v>
      </c>
      <c r="K45" s="8">
        <f>SUM(K33:K44)</f>
        <v>1387</v>
      </c>
      <c r="L45" s="8">
        <f t="shared" ref="L45:P45" si="14">SUM(L33:L44)</f>
        <v>333</v>
      </c>
      <c r="M45" s="8">
        <f t="shared" si="14"/>
        <v>25</v>
      </c>
      <c r="N45" s="31">
        <f t="shared" si="14"/>
        <v>176</v>
      </c>
      <c r="O45" s="8">
        <f t="shared" si="14"/>
        <v>109805</v>
      </c>
      <c r="P45" s="8">
        <f t="shared" si="14"/>
        <v>79815</v>
      </c>
      <c r="Q45" s="186">
        <f>T45/W45</f>
        <v>1.3938000942951438E-2</v>
      </c>
      <c r="R45" s="190">
        <f>U45/X45</f>
        <v>3.2778404815650863E-2</v>
      </c>
      <c r="S45" s="22"/>
      <c r="T45" s="143">
        <f>SUM(T33:T44)</f>
        <v>2365</v>
      </c>
      <c r="U45" s="143">
        <f>SUM(U33:U44)</f>
        <v>3485</v>
      </c>
      <c r="W45" s="12">
        <f>SUM(W33:W44)</f>
        <v>169680</v>
      </c>
      <c r="X45" s="12">
        <f>SUM(X33:X44)</f>
        <v>106320</v>
      </c>
    </row>
    <row r="46" spans="1:24" ht="12.75" customHeight="1" x14ac:dyDescent="0.3">
      <c r="A46" s="5" t="s">
        <v>93</v>
      </c>
      <c r="B46" s="9">
        <v>169680</v>
      </c>
      <c r="C46" s="9">
        <v>94514</v>
      </c>
      <c r="D46" s="9">
        <v>4006</v>
      </c>
      <c r="E46" s="9">
        <v>414</v>
      </c>
      <c r="F46" s="9">
        <v>5174</v>
      </c>
      <c r="G46" s="9">
        <v>47</v>
      </c>
      <c r="H46" s="9">
        <v>364</v>
      </c>
      <c r="I46" s="9">
        <v>30</v>
      </c>
      <c r="J46" s="9">
        <v>137</v>
      </c>
      <c r="K46" s="9">
        <v>1347</v>
      </c>
      <c r="L46" s="9">
        <v>271</v>
      </c>
      <c r="M46" s="9">
        <v>16</v>
      </c>
      <c r="N46" s="9">
        <v>208</v>
      </c>
      <c r="O46" s="9">
        <v>106320</v>
      </c>
      <c r="P46" s="9">
        <v>86739</v>
      </c>
      <c r="Q46" s="47">
        <v>-6.7523232234416128E-2</v>
      </c>
      <c r="R46" s="120">
        <v>-2.7970741754762048E-2</v>
      </c>
    </row>
    <row r="47" spans="1:24" ht="12.75" customHeight="1" x14ac:dyDescent="0.3">
      <c r="A47" s="5" t="s">
        <v>23</v>
      </c>
      <c r="B47" s="9">
        <f t="shared" ref="B47:J47" si="15">B45-B46</f>
        <v>2365</v>
      </c>
      <c r="C47" s="9">
        <f t="shared" si="15"/>
        <v>2807</v>
      </c>
      <c r="D47" s="9">
        <f t="shared" si="15"/>
        <v>592</v>
      </c>
      <c r="E47" s="9">
        <f t="shared" si="15"/>
        <v>111</v>
      </c>
      <c r="F47" s="9">
        <f t="shared" si="15"/>
        <v>-58</v>
      </c>
      <c r="G47" s="9">
        <f t="shared" si="15"/>
        <v>-6</v>
      </c>
      <c r="H47" s="9">
        <f t="shared" si="15"/>
        <v>-50</v>
      </c>
      <c r="I47" s="9">
        <f t="shared" si="15"/>
        <v>-9</v>
      </c>
      <c r="J47" s="9">
        <f t="shared" si="15"/>
        <v>-13</v>
      </c>
      <c r="K47" s="9">
        <f>K45-K46</f>
        <v>40</v>
      </c>
      <c r="L47" s="9">
        <f t="shared" ref="L47:P47" si="16">L45-L46</f>
        <v>62</v>
      </c>
      <c r="M47" s="9">
        <f t="shared" si="16"/>
        <v>9</v>
      </c>
      <c r="N47" s="30">
        <f t="shared" si="16"/>
        <v>-32</v>
      </c>
      <c r="O47" s="9">
        <f t="shared" si="16"/>
        <v>3485</v>
      </c>
      <c r="P47" s="9">
        <f t="shared" si="16"/>
        <v>-6924</v>
      </c>
      <c r="Q47" s="48"/>
      <c r="R47" s="158"/>
    </row>
    <row r="50" spans="1:24" ht="12.75" customHeight="1" x14ac:dyDescent="0.25">
      <c r="B50" s="22" t="s">
        <v>125</v>
      </c>
    </row>
    <row r="53" spans="1:24" ht="12.75" customHeight="1" x14ac:dyDescent="0.25">
      <c r="B53" s="332"/>
      <c r="C53" s="333"/>
      <c r="D53" s="333"/>
      <c r="E53" s="333"/>
      <c r="F53" s="333"/>
      <c r="G53" s="333"/>
      <c r="H53" s="333"/>
      <c r="I53" s="333"/>
      <c r="J53" s="333"/>
      <c r="K53" s="333"/>
      <c r="L53" s="333"/>
      <c r="M53" s="334"/>
    </row>
    <row r="54" spans="1:24" ht="18" x14ac:dyDescent="0.25">
      <c r="B54" s="25"/>
      <c r="C54" s="3" t="s">
        <v>152</v>
      </c>
      <c r="F54" s="335" t="s">
        <v>153</v>
      </c>
      <c r="M54" s="337"/>
    </row>
    <row r="55" spans="1:24" ht="12.75" customHeight="1" x14ac:dyDescent="0.25">
      <c r="B55" s="86"/>
      <c r="C55" s="4"/>
      <c r="D55" s="4"/>
      <c r="E55" s="4"/>
      <c r="F55" s="4"/>
      <c r="G55" s="4"/>
      <c r="H55" s="4"/>
      <c r="I55" s="4"/>
      <c r="J55" s="4"/>
      <c r="K55" s="4"/>
      <c r="L55" s="4"/>
      <c r="M55" s="97"/>
    </row>
    <row r="57" spans="1:24" ht="12.75" customHeight="1" x14ac:dyDescent="0.3">
      <c r="A57" s="1" t="s">
        <v>0</v>
      </c>
      <c r="B57" s="2" t="s">
        <v>1</v>
      </c>
      <c r="C57" s="2" t="s">
        <v>2</v>
      </c>
      <c r="D57" s="26" t="s">
        <v>52</v>
      </c>
      <c r="E57" s="26" t="s">
        <v>53</v>
      </c>
      <c r="F57" s="2" t="s">
        <v>3</v>
      </c>
      <c r="G57" s="2" t="s">
        <v>4</v>
      </c>
      <c r="H57" s="73" t="s">
        <v>54</v>
      </c>
      <c r="I57" s="26" t="s">
        <v>45</v>
      </c>
      <c r="J57" s="26" t="s">
        <v>46</v>
      </c>
      <c r="K57" s="26" t="s">
        <v>48</v>
      </c>
      <c r="L57" s="26" t="s">
        <v>47</v>
      </c>
      <c r="M57" s="26" t="s">
        <v>6</v>
      </c>
      <c r="N57" s="326" t="s">
        <v>7</v>
      </c>
      <c r="O57" s="1" t="s">
        <v>8</v>
      </c>
      <c r="P57" s="2" t="s">
        <v>10</v>
      </c>
      <c r="Q57" s="2" t="s">
        <v>1</v>
      </c>
      <c r="R57" s="2" t="s">
        <v>9</v>
      </c>
      <c r="T57" s="3" t="s">
        <v>129</v>
      </c>
      <c r="U57" s="3" t="s">
        <v>130</v>
      </c>
      <c r="W57" s="3" t="s">
        <v>103</v>
      </c>
      <c r="X57" s="3" t="s">
        <v>104</v>
      </c>
    </row>
    <row r="58" spans="1:24" ht="12.75" customHeight="1" x14ac:dyDescent="0.3">
      <c r="A58" t="s">
        <v>11</v>
      </c>
      <c r="B58" s="10">
        <v>10881</v>
      </c>
      <c r="C58" s="10">
        <v>6785</v>
      </c>
      <c r="D58" s="10">
        <v>217</v>
      </c>
      <c r="E58" s="329">
        <v>15</v>
      </c>
      <c r="F58" s="10">
        <v>298</v>
      </c>
      <c r="G58" s="10">
        <v>0</v>
      </c>
      <c r="H58" s="10">
        <v>15</v>
      </c>
      <c r="I58" s="16">
        <v>0</v>
      </c>
      <c r="J58" s="16">
        <v>0</v>
      </c>
      <c r="K58" s="16">
        <v>0</v>
      </c>
      <c r="L58" s="16">
        <v>0</v>
      </c>
      <c r="M58" s="16">
        <v>2</v>
      </c>
      <c r="N58" s="31">
        <v>0</v>
      </c>
      <c r="O58" s="10">
        <f>SUM(C58:M58)</f>
        <v>7332</v>
      </c>
      <c r="P58" s="10">
        <v>4619</v>
      </c>
      <c r="Q58" s="285">
        <f>T58/W58</f>
        <v>0.13414634146341464</v>
      </c>
      <c r="R58" s="286">
        <f>U58/X58</f>
        <v>9.2046470062555855E-2</v>
      </c>
      <c r="T58" s="143">
        <f t="shared" ref="T58:T69" si="17">B58-W58</f>
        <v>1287</v>
      </c>
      <c r="U58" s="143">
        <f>O58-X58</f>
        <v>618</v>
      </c>
      <c r="W58" s="12">
        <v>9594</v>
      </c>
      <c r="X58" s="12">
        <v>6714</v>
      </c>
    </row>
    <row r="59" spans="1:24" ht="12.75" customHeight="1" x14ac:dyDescent="0.3">
      <c r="A59" t="s">
        <v>12</v>
      </c>
      <c r="B59" s="10">
        <v>8993</v>
      </c>
      <c r="C59" s="10">
        <v>5643</v>
      </c>
      <c r="D59" s="10">
        <v>152</v>
      </c>
      <c r="E59" s="329">
        <v>6</v>
      </c>
      <c r="F59" s="10">
        <v>351</v>
      </c>
      <c r="G59" s="10">
        <v>0</v>
      </c>
      <c r="H59" s="10">
        <v>5</v>
      </c>
      <c r="I59" s="16">
        <v>1</v>
      </c>
      <c r="J59" s="16">
        <v>0</v>
      </c>
      <c r="K59" s="16">
        <v>0</v>
      </c>
      <c r="L59" s="16">
        <v>0</v>
      </c>
      <c r="M59" s="16">
        <v>0</v>
      </c>
      <c r="N59" s="31">
        <v>0</v>
      </c>
      <c r="O59" s="10">
        <f t="shared" ref="O59:O69" si="18">SUM(C59:M59)</f>
        <v>6158</v>
      </c>
      <c r="P59" s="10">
        <v>4418</v>
      </c>
      <c r="Q59" s="285">
        <f t="shared" ref="Q59:R69" si="19">T59/W59</f>
        <v>0.10208333333333333</v>
      </c>
      <c r="R59" s="287">
        <f t="shared" si="19"/>
        <v>7.0398053189640195E-2</v>
      </c>
      <c r="T59" s="143">
        <f t="shared" si="17"/>
        <v>833</v>
      </c>
      <c r="U59" s="143">
        <f t="shared" ref="U59:U69" si="20">O59-X59</f>
        <v>405</v>
      </c>
      <c r="W59" s="12">
        <v>8160</v>
      </c>
      <c r="X59" s="12">
        <v>5753</v>
      </c>
    </row>
    <row r="60" spans="1:24" ht="12.75" customHeight="1" x14ac:dyDescent="0.3">
      <c r="A60" t="s">
        <v>13</v>
      </c>
      <c r="B60" s="10">
        <v>11448</v>
      </c>
      <c r="C60" s="10">
        <v>7185</v>
      </c>
      <c r="D60" s="10">
        <v>258</v>
      </c>
      <c r="E60" s="329">
        <v>28</v>
      </c>
      <c r="F60" s="10">
        <v>371</v>
      </c>
      <c r="G60" s="10">
        <v>0</v>
      </c>
      <c r="H60" s="10">
        <v>19</v>
      </c>
      <c r="I60" s="16">
        <v>0</v>
      </c>
      <c r="J60" s="16">
        <v>2</v>
      </c>
      <c r="K60" s="16">
        <v>0</v>
      </c>
      <c r="L60" s="16">
        <v>4</v>
      </c>
      <c r="M60" s="16">
        <v>0</v>
      </c>
      <c r="N60" s="31">
        <v>1</v>
      </c>
      <c r="O60" s="10">
        <f t="shared" si="18"/>
        <v>7867</v>
      </c>
      <c r="P60" s="10">
        <v>5658</v>
      </c>
      <c r="Q60" s="285">
        <f t="shared" si="19"/>
        <v>8.4398976982097182E-2</v>
      </c>
      <c r="R60" s="287">
        <f t="shared" si="19"/>
        <v>6.6567245119305854E-2</v>
      </c>
      <c r="T60" s="143">
        <f t="shared" si="17"/>
        <v>891</v>
      </c>
      <c r="U60" s="143">
        <f t="shared" si="20"/>
        <v>491</v>
      </c>
      <c r="W60" s="12">
        <v>10557</v>
      </c>
      <c r="X60" s="12">
        <v>7376</v>
      </c>
    </row>
    <row r="61" spans="1:24" ht="12.75" customHeight="1" x14ac:dyDescent="0.3">
      <c r="A61" t="s">
        <v>14</v>
      </c>
      <c r="B61" s="10">
        <v>12003</v>
      </c>
      <c r="C61" s="10">
        <v>7463</v>
      </c>
      <c r="D61" s="10">
        <v>458</v>
      </c>
      <c r="E61" s="329">
        <v>47</v>
      </c>
      <c r="F61" s="10">
        <v>435</v>
      </c>
      <c r="G61" s="10">
        <v>0</v>
      </c>
      <c r="H61" s="10">
        <v>22</v>
      </c>
      <c r="I61" s="16">
        <v>0</v>
      </c>
      <c r="J61" s="16">
        <v>4</v>
      </c>
      <c r="K61" s="16">
        <v>4</v>
      </c>
      <c r="L61" s="16">
        <v>15</v>
      </c>
      <c r="M61" s="16">
        <v>2</v>
      </c>
      <c r="N61" s="31">
        <v>135</v>
      </c>
      <c r="O61" s="10">
        <f t="shared" si="18"/>
        <v>8450</v>
      </c>
      <c r="P61" s="10">
        <v>6669</v>
      </c>
      <c r="Q61" s="285">
        <f t="shared" si="19"/>
        <v>-8.7501900562566515E-2</v>
      </c>
      <c r="R61" s="287">
        <f t="shared" si="19"/>
        <v>-1.1580301789683004E-2</v>
      </c>
      <c r="S61" t="s">
        <v>124</v>
      </c>
      <c r="T61" s="143">
        <f t="shared" si="17"/>
        <v>-1151</v>
      </c>
      <c r="U61" s="143">
        <f t="shared" si="20"/>
        <v>-99</v>
      </c>
      <c r="W61" s="12">
        <v>13154</v>
      </c>
      <c r="X61" s="12">
        <v>8549</v>
      </c>
    </row>
    <row r="62" spans="1:24" ht="12.75" customHeight="1" x14ac:dyDescent="0.3">
      <c r="A62" t="s">
        <v>15</v>
      </c>
      <c r="B62" s="10">
        <v>16599</v>
      </c>
      <c r="C62" s="10">
        <v>9811</v>
      </c>
      <c r="D62" s="10">
        <v>651</v>
      </c>
      <c r="E62" s="329">
        <v>61</v>
      </c>
      <c r="F62" s="10">
        <v>491</v>
      </c>
      <c r="G62" s="10">
        <v>8</v>
      </c>
      <c r="H62" s="10">
        <v>27</v>
      </c>
      <c r="I62" s="16">
        <v>0</v>
      </c>
      <c r="J62" s="16">
        <v>11</v>
      </c>
      <c r="K62" s="16">
        <v>19</v>
      </c>
      <c r="L62" s="16">
        <v>31</v>
      </c>
      <c r="M62" s="16">
        <v>2</v>
      </c>
      <c r="N62" s="31">
        <v>2</v>
      </c>
      <c r="O62" s="10">
        <f t="shared" si="18"/>
        <v>11112</v>
      </c>
      <c r="P62" s="10">
        <v>10400</v>
      </c>
      <c r="Q62" s="285">
        <f t="shared" si="19"/>
        <v>2.9001268805510243E-3</v>
      </c>
      <c r="R62" s="287">
        <f t="shared" si="19"/>
        <v>8.8061733999092139E-3</v>
      </c>
      <c r="T62" s="143">
        <f t="shared" si="17"/>
        <v>48</v>
      </c>
      <c r="U62" s="143">
        <f t="shared" si="20"/>
        <v>97</v>
      </c>
      <c r="W62" s="12">
        <v>16551</v>
      </c>
      <c r="X62" s="12">
        <v>11015</v>
      </c>
    </row>
    <row r="63" spans="1:24" ht="12.75" customHeight="1" x14ac:dyDescent="0.3">
      <c r="A63" t="s">
        <v>16</v>
      </c>
      <c r="B63" s="10">
        <v>20374</v>
      </c>
      <c r="C63" s="10">
        <v>10494</v>
      </c>
      <c r="D63" s="10">
        <v>684</v>
      </c>
      <c r="E63" s="329">
        <v>50</v>
      </c>
      <c r="F63" s="10">
        <v>568</v>
      </c>
      <c r="G63" s="10">
        <v>12</v>
      </c>
      <c r="H63" s="10">
        <v>28</v>
      </c>
      <c r="I63" s="16">
        <v>3</v>
      </c>
      <c r="J63" s="16">
        <v>27</v>
      </c>
      <c r="K63" s="16">
        <v>331</v>
      </c>
      <c r="L63" s="16">
        <v>46</v>
      </c>
      <c r="M63" s="16">
        <v>0</v>
      </c>
      <c r="N63" s="31">
        <v>44</v>
      </c>
      <c r="O63" s="10">
        <f t="shared" si="18"/>
        <v>12243</v>
      </c>
      <c r="P63" s="10">
        <v>9324</v>
      </c>
      <c r="Q63" s="285">
        <f t="shared" si="19"/>
        <v>5.2484760822399008E-2</v>
      </c>
      <c r="R63" s="287">
        <f t="shared" si="19"/>
        <v>4.5427375971309025E-2</v>
      </c>
      <c r="T63" s="143">
        <f t="shared" si="17"/>
        <v>1016</v>
      </c>
      <c r="U63" s="143">
        <f t="shared" si="20"/>
        <v>532</v>
      </c>
      <c r="W63" s="12">
        <v>19358</v>
      </c>
      <c r="X63" s="12">
        <v>11711</v>
      </c>
    </row>
    <row r="64" spans="1:24" ht="12.75" customHeight="1" x14ac:dyDescent="0.3">
      <c r="A64" t="s">
        <v>17</v>
      </c>
      <c r="B64" s="10">
        <v>27242</v>
      </c>
      <c r="C64" s="10">
        <v>12527</v>
      </c>
      <c r="D64" s="10">
        <v>672</v>
      </c>
      <c r="E64" s="329">
        <v>74</v>
      </c>
      <c r="F64" s="10">
        <v>447</v>
      </c>
      <c r="G64" s="10">
        <v>5</v>
      </c>
      <c r="H64" s="10">
        <v>34</v>
      </c>
      <c r="I64" s="16">
        <v>18</v>
      </c>
      <c r="J64" s="16">
        <v>53</v>
      </c>
      <c r="K64" s="16">
        <v>788</v>
      </c>
      <c r="L64" s="16">
        <v>79</v>
      </c>
      <c r="M64" s="16">
        <v>0</v>
      </c>
      <c r="N64" s="31">
        <v>58</v>
      </c>
      <c r="O64" s="10">
        <f t="shared" si="18"/>
        <v>14697</v>
      </c>
      <c r="P64" s="10">
        <v>7451</v>
      </c>
      <c r="Q64" s="285">
        <f t="shared" si="19"/>
        <v>9.1470010817741101E-2</v>
      </c>
      <c r="R64" s="287">
        <f t="shared" si="19"/>
        <v>4.6124279308135813E-2</v>
      </c>
      <c r="T64" s="143">
        <f t="shared" si="17"/>
        <v>2283</v>
      </c>
      <c r="U64" s="143">
        <f t="shared" si="20"/>
        <v>648</v>
      </c>
      <c r="W64" s="12">
        <v>24959</v>
      </c>
      <c r="X64" s="12">
        <v>14049</v>
      </c>
    </row>
    <row r="65" spans="1:24" ht="12.75" customHeight="1" x14ac:dyDescent="0.3">
      <c r="A65" t="s">
        <v>18</v>
      </c>
      <c r="B65" s="10">
        <v>20129</v>
      </c>
      <c r="C65" s="10">
        <v>10704</v>
      </c>
      <c r="D65" s="10">
        <v>559</v>
      </c>
      <c r="E65" s="329">
        <v>70</v>
      </c>
      <c r="F65" s="10">
        <v>428</v>
      </c>
      <c r="G65" s="10">
        <v>11</v>
      </c>
      <c r="H65" s="10">
        <v>66</v>
      </c>
      <c r="I65" s="16">
        <v>4</v>
      </c>
      <c r="J65" s="16">
        <v>32</v>
      </c>
      <c r="K65" s="16">
        <v>348</v>
      </c>
      <c r="L65" s="16">
        <v>94</v>
      </c>
      <c r="M65" s="16">
        <v>2</v>
      </c>
      <c r="N65" s="31">
        <v>22</v>
      </c>
      <c r="O65" s="10">
        <f t="shared" si="18"/>
        <v>12318</v>
      </c>
      <c r="P65" s="10">
        <v>7250</v>
      </c>
      <c r="Q65" s="285">
        <f t="shared" si="19"/>
        <v>6.2990551417287403E-3</v>
      </c>
      <c r="R65" s="287">
        <f t="shared" si="19"/>
        <v>2.3344687214422198E-2</v>
      </c>
      <c r="T65" s="143">
        <f t="shared" si="17"/>
        <v>126</v>
      </c>
      <c r="U65" s="143">
        <f t="shared" si="20"/>
        <v>281</v>
      </c>
      <c r="W65" s="12">
        <v>20003</v>
      </c>
      <c r="X65" s="12">
        <v>12037</v>
      </c>
    </row>
    <row r="66" spans="1:24" ht="12.75" customHeight="1" x14ac:dyDescent="0.3">
      <c r="A66" t="s">
        <v>19</v>
      </c>
      <c r="B66" s="10">
        <v>14833</v>
      </c>
      <c r="C66" s="10">
        <v>8861</v>
      </c>
      <c r="D66" s="10">
        <v>427</v>
      </c>
      <c r="E66" s="329">
        <v>48</v>
      </c>
      <c r="F66" s="10">
        <v>429</v>
      </c>
      <c r="G66" s="10">
        <v>13</v>
      </c>
      <c r="H66" s="10">
        <v>73</v>
      </c>
      <c r="I66" s="16">
        <v>1</v>
      </c>
      <c r="J66" s="16">
        <v>15</v>
      </c>
      <c r="K66" s="16">
        <v>25</v>
      </c>
      <c r="L66" s="16">
        <v>95</v>
      </c>
      <c r="M66" s="16">
        <v>1</v>
      </c>
      <c r="N66" s="31">
        <v>11</v>
      </c>
      <c r="O66" s="10">
        <f t="shared" si="18"/>
        <v>9988</v>
      </c>
      <c r="P66" s="10">
        <v>7365</v>
      </c>
      <c r="Q66" s="285">
        <f t="shared" si="19"/>
        <v>-4.6302509730237551E-3</v>
      </c>
      <c r="R66" s="287">
        <f t="shared" si="19"/>
        <v>4.9269881290051477E-2</v>
      </c>
      <c r="T66" s="143">
        <f t="shared" si="17"/>
        <v>-69</v>
      </c>
      <c r="U66" s="143">
        <f t="shared" si="20"/>
        <v>469</v>
      </c>
      <c r="W66" s="12">
        <v>14902</v>
      </c>
      <c r="X66" s="12">
        <v>9519</v>
      </c>
    </row>
    <row r="67" spans="1:24" ht="12.75" customHeight="1" x14ac:dyDescent="0.3">
      <c r="A67" t="s">
        <v>20</v>
      </c>
      <c r="B67" s="10">
        <v>12930</v>
      </c>
      <c r="C67" s="10">
        <v>7386</v>
      </c>
      <c r="D67" s="10">
        <v>316</v>
      </c>
      <c r="E67" s="329">
        <v>38</v>
      </c>
      <c r="F67" s="10">
        <v>300</v>
      </c>
      <c r="G67" s="10">
        <v>0</v>
      </c>
      <c r="H67" s="10">
        <v>28</v>
      </c>
      <c r="I67" s="16">
        <v>1</v>
      </c>
      <c r="J67" s="16">
        <v>1</v>
      </c>
      <c r="K67" s="16">
        <v>1</v>
      </c>
      <c r="L67" s="16">
        <v>9</v>
      </c>
      <c r="M67" s="16">
        <v>3</v>
      </c>
      <c r="N67" s="31">
        <v>88</v>
      </c>
      <c r="O67" s="10">
        <f t="shared" si="18"/>
        <v>8083</v>
      </c>
      <c r="P67" s="10">
        <v>4877</v>
      </c>
      <c r="Q67" s="285">
        <f t="shared" si="19"/>
        <v>-4.6955584635516899E-3</v>
      </c>
      <c r="R67" s="287">
        <f t="shared" si="19"/>
        <v>-7.2092756285156698E-2</v>
      </c>
      <c r="S67" t="s">
        <v>124</v>
      </c>
      <c r="T67" s="143">
        <f t="shared" si="17"/>
        <v>-61</v>
      </c>
      <c r="U67" s="143">
        <f t="shared" si="20"/>
        <v>-628</v>
      </c>
      <c r="W67" s="12">
        <v>12991</v>
      </c>
      <c r="X67" s="12">
        <v>8711</v>
      </c>
    </row>
    <row r="68" spans="1:24" ht="12.75" customHeight="1" x14ac:dyDescent="0.3">
      <c r="A68" t="s">
        <v>21</v>
      </c>
      <c r="B68" s="10">
        <f>5871+4134</f>
        <v>10005</v>
      </c>
      <c r="C68" s="10">
        <f>3716+2419</f>
        <v>6135</v>
      </c>
      <c r="D68" s="10">
        <f>141+100</f>
        <v>241</v>
      </c>
      <c r="E68" s="329">
        <f>14+18</f>
        <v>32</v>
      </c>
      <c r="F68" s="10">
        <f>174+113</f>
        <v>287</v>
      </c>
      <c r="G68" s="10">
        <v>1</v>
      </c>
      <c r="H68" s="10">
        <f>6+12</f>
        <v>18</v>
      </c>
      <c r="I68" s="16">
        <f>0</f>
        <v>0</v>
      </c>
      <c r="J68" s="16">
        <f>2+1</f>
        <v>3</v>
      </c>
      <c r="K68" s="16">
        <v>0</v>
      </c>
      <c r="L68" s="16">
        <v>0</v>
      </c>
      <c r="M68" s="16">
        <v>20</v>
      </c>
      <c r="N68" s="31">
        <v>16</v>
      </c>
      <c r="O68" s="10">
        <f>SUM(C68:M68)</f>
        <v>6737</v>
      </c>
      <c r="P68" s="10">
        <f>2599+1746</f>
        <v>4345</v>
      </c>
      <c r="Q68" s="285">
        <f t="shared" si="19"/>
        <v>-0.12398213816653533</v>
      </c>
      <c r="R68" s="287">
        <f t="shared" si="19"/>
        <v>-0.10626160785354205</v>
      </c>
      <c r="T68" s="143">
        <f t="shared" si="17"/>
        <v>-1416</v>
      </c>
      <c r="U68" s="143">
        <f t="shared" si="20"/>
        <v>-801</v>
      </c>
      <c r="W68" s="12">
        <v>11421</v>
      </c>
      <c r="X68" s="12">
        <v>7538</v>
      </c>
    </row>
    <row r="69" spans="1:24" ht="12.75" customHeight="1" x14ac:dyDescent="0.3">
      <c r="A69" s="4" t="s">
        <v>22</v>
      </c>
      <c r="B69" s="11">
        <v>10902</v>
      </c>
      <c r="C69" s="11">
        <v>6519</v>
      </c>
      <c r="D69" s="11">
        <v>230</v>
      </c>
      <c r="E69" s="296">
        <v>11</v>
      </c>
      <c r="F69" s="11">
        <v>243</v>
      </c>
      <c r="G69" s="11">
        <v>2</v>
      </c>
      <c r="H69" s="11">
        <v>9</v>
      </c>
      <c r="I69" s="376">
        <v>1</v>
      </c>
      <c r="J69" s="376">
        <v>4</v>
      </c>
      <c r="K69" s="376">
        <v>1</v>
      </c>
      <c r="L69" s="376">
        <v>2</v>
      </c>
      <c r="M69" s="376">
        <v>3</v>
      </c>
      <c r="N69" s="30">
        <v>0</v>
      </c>
      <c r="O69" s="11">
        <f t="shared" si="18"/>
        <v>7025</v>
      </c>
      <c r="P69" s="11">
        <v>4112</v>
      </c>
      <c r="Q69" s="288">
        <f t="shared" si="19"/>
        <v>4.8773448773448774E-2</v>
      </c>
      <c r="R69" s="289">
        <f t="shared" si="19"/>
        <v>2.8098931655202691E-2</v>
      </c>
      <c r="T69" s="169">
        <f t="shared" si="17"/>
        <v>507</v>
      </c>
      <c r="U69" s="169">
        <f t="shared" si="20"/>
        <v>192</v>
      </c>
      <c r="W69" s="20">
        <v>10395</v>
      </c>
      <c r="X69" s="20">
        <v>6833</v>
      </c>
    </row>
    <row r="70" spans="1:24" ht="12.75" customHeight="1" x14ac:dyDescent="0.3">
      <c r="A70" s="3" t="s">
        <v>131</v>
      </c>
      <c r="B70" s="8">
        <f t="shared" ref="B70:P70" si="21">SUM(B58:B69)</f>
        <v>176339</v>
      </c>
      <c r="C70" s="8">
        <f t="shared" si="21"/>
        <v>99513</v>
      </c>
      <c r="D70" s="8">
        <f t="shared" si="21"/>
        <v>4865</v>
      </c>
      <c r="E70" s="8">
        <f t="shared" si="21"/>
        <v>480</v>
      </c>
      <c r="F70" s="8">
        <f t="shared" si="21"/>
        <v>4648</v>
      </c>
      <c r="G70" s="8">
        <f t="shared" si="21"/>
        <v>52</v>
      </c>
      <c r="H70" s="8">
        <f t="shared" si="21"/>
        <v>344</v>
      </c>
      <c r="I70" s="8">
        <f t="shared" si="21"/>
        <v>29</v>
      </c>
      <c r="J70" s="8">
        <f t="shared" si="21"/>
        <v>152</v>
      </c>
      <c r="K70" s="8">
        <f t="shared" si="21"/>
        <v>1517</v>
      </c>
      <c r="L70" s="8">
        <f t="shared" si="21"/>
        <v>375</v>
      </c>
      <c r="M70" s="8">
        <f t="shared" si="21"/>
        <v>35</v>
      </c>
      <c r="N70" s="31">
        <f t="shared" si="21"/>
        <v>377</v>
      </c>
      <c r="O70" s="8">
        <f t="shared" si="21"/>
        <v>112010</v>
      </c>
      <c r="P70" s="8">
        <f t="shared" si="21"/>
        <v>76488</v>
      </c>
      <c r="Q70" s="377">
        <f>T70/W70</f>
        <v>2.4958586416344561E-2</v>
      </c>
      <c r="R70" s="190">
        <f>U70/X70</f>
        <v>2.0081052775374527E-2</v>
      </c>
      <c r="T70" s="143">
        <f>SUM(T58:T69)</f>
        <v>4294</v>
      </c>
      <c r="U70" s="143">
        <f>SUM(U58:U69)</f>
        <v>2205</v>
      </c>
      <c r="W70" s="12">
        <f>SUM(W58:W69)</f>
        <v>172045</v>
      </c>
      <c r="X70" s="12">
        <f>SUM(X58:X69)</f>
        <v>109805</v>
      </c>
    </row>
    <row r="71" spans="1:24" ht="12.75" customHeight="1" x14ac:dyDescent="0.3">
      <c r="A71" s="5" t="s">
        <v>106</v>
      </c>
      <c r="B71" s="9">
        <v>172045</v>
      </c>
      <c r="C71" s="9">
        <v>97321</v>
      </c>
      <c r="D71" s="9">
        <v>4598</v>
      </c>
      <c r="E71" s="9">
        <v>525</v>
      </c>
      <c r="F71" s="9">
        <v>5116</v>
      </c>
      <c r="G71" s="9">
        <v>41</v>
      </c>
      <c r="H71" s="9">
        <v>314</v>
      </c>
      <c r="I71" s="9">
        <v>21</v>
      </c>
      <c r="J71" s="9">
        <v>124</v>
      </c>
      <c r="K71" s="9">
        <v>1387</v>
      </c>
      <c r="L71" s="9">
        <v>333</v>
      </c>
      <c r="M71" s="9">
        <v>25</v>
      </c>
      <c r="N71" s="9">
        <v>176</v>
      </c>
      <c r="O71" s="9">
        <v>109805</v>
      </c>
      <c r="P71" s="9">
        <v>79815</v>
      </c>
      <c r="Q71" s="378"/>
      <c r="R71" s="379"/>
    </row>
    <row r="72" spans="1:24" ht="12.75" customHeight="1" x14ac:dyDescent="0.3">
      <c r="A72" s="5" t="s">
        <v>23</v>
      </c>
      <c r="B72" s="9">
        <f t="shared" ref="B72:P72" si="22">B70-B71</f>
        <v>4294</v>
      </c>
      <c r="C72" s="9">
        <f t="shared" si="22"/>
        <v>2192</v>
      </c>
      <c r="D72" s="9">
        <f t="shared" si="22"/>
        <v>267</v>
      </c>
      <c r="E72" s="9">
        <f t="shared" si="22"/>
        <v>-45</v>
      </c>
      <c r="F72" s="9">
        <f t="shared" si="22"/>
        <v>-468</v>
      </c>
      <c r="G72" s="9">
        <f t="shared" si="22"/>
        <v>11</v>
      </c>
      <c r="H72" s="9">
        <f t="shared" si="22"/>
        <v>30</v>
      </c>
      <c r="I72" s="9">
        <f t="shared" si="22"/>
        <v>8</v>
      </c>
      <c r="J72" s="9">
        <f t="shared" si="22"/>
        <v>28</v>
      </c>
      <c r="K72" s="9">
        <f t="shared" si="22"/>
        <v>130</v>
      </c>
      <c r="L72" s="9">
        <f t="shared" si="22"/>
        <v>42</v>
      </c>
      <c r="M72" s="9">
        <f t="shared" si="22"/>
        <v>10</v>
      </c>
      <c r="N72" s="30">
        <f t="shared" si="22"/>
        <v>201</v>
      </c>
      <c r="O72" s="9">
        <f t="shared" si="22"/>
        <v>2205</v>
      </c>
      <c r="P72" s="9">
        <f t="shared" si="22"/>
        <v>-3327</v>
      </c>
      <c r="Q72" s="380"/>
      <c r="R72" s="158"/>
    </row>
    <row r="73" spans="1:24" ht="12.75" customHeight="1" x14ac:dyDescent="0.25">
      <c r="B73" t="s">
        <v>154</v>
      </c>
    </row>
    <row r="74" spans="1:24" ht="12.75" customHeight="1" x14ac:dyDescent="0.25">
      <c r="B74" t="s">
        <v>155</v>
      </c>
    </row>
    <row r="76" spans="1:24" ht="12.5" x14ac:dyDescent="0.25">
      <c r="B76" s="332"/>
      <c r="C76" s="333"/>
      <c r="D76" s="333"/>
      <c r="E76" s="333"/>
      <c r="F76" s="333"/>
      <c r="G76" s="333"/>
      <c r="H76" s="333"/>
      <c r="I76" s="333"/>
      <c r="J76" s="333"/>
      <c r="K76" s="333"/>
      <c r="L76" s="333"/>
      <c r="M76" s="334"/>
    </row>
    <row r="77" spans="1:24" ht="18" x14ac:dyDescent="0.25">
      <c r="B77" s="25"/>
      <c r="C77" s="3" t="s">
        <v>152</v>
      </c>
      <c r="F77" s="335" t="s">
        <v>156</v>
      </c>
      <c r="M77" s="337"/>
    </row>
    <row r="78" spans="1:24" ht="12.75" customHeight="1" x14ac:dyDescent="0.25">
      <c r="B78" s="86"/>
      <c r="C78" s="4"/>
      <c r="D78" s="4"/>
      <c r="E78" s="4"/>
      <c r="F78" s="4"/>
      <c r="G78" s="4"/>
      <c r="H78" s="4"/>
      <c r="I78" s="4"/>
      <c r="J78" s="4"/>
      <c r="K78" s="4"/>
      <c r="L78" s="4"/>
      <c r="M78" s="97"/>
    </row>
    <row r="81" spans="1:24" ht="12.75" customHeight="1" x14ac:dyDescent="0.3">
      <c r="A81" s="1" t="s">
        <v>0</v>
      </c>
      <c r="B81" s="2" t="s">
        <v>1</v>
      </c>
      <c r="C81" s="2" t="s">
        <v>2</v>
      </c>
      <c r="D81" s="26" t="s">
        <v>52</v>
      </c>
      <c r="E81" s="26" t="s">
        <v>53</v>
      </c>
      <c r="F81" s="2" t="s">
        <v>3</v>
      </c>
      <c r="G81" s="2" t="s">
        <v>4</v>
      </c>
      <c r="H81" s="73" t="s">
        <v>54</v>
      </c>
      <c r="I81" s="26" t="s">
        <v>45</v>
      </c>
      <c r="J81" s="26" t="s">
        <v>46</v>
      </c>
      <c r="K81" s="26" t="s">
        <v>48</v>
      </c>
      <c r="L81" s="26" t="s">
        <v>47</v>
      </c>
      <c r="M81" s="26" t="s">
        <v>6</v>
      </c>
      <c r="N81" s="326" t="s">
        <v>7</v>
      </c>
      <c r="O81" s="1" t="s">
        <v>8</v>
      </c>
      <c r="P81" s="2" t="s">
        <v>10</v>
      </c>
      <c r="Q81" s="2" t="s">
        <v>1</v>
      </c>
      <c r="R81" s="2" t="s">
        <v>9</v>
      </c>
      <c r="T81" s="3" t="s">
        <v>135</v>
      </c>
      <c r="U81" s="3" t="s">
        <v>136</v>
      </c>
      <c r="W81" s="3" t="s">
        <v>129</v>
      </c>
      <c r="X81" s="3" t="s">
        <v>130</v>
      </c>
    </row>
    <row r="82" spans="1:24" ht="12.75" customHeight="1" x14ac:dyDescent="0.3">
      <c r="A82" t="s">
        <v>11</v>
      </c>
      <c r="B82" s="10">
        <v>9505</v>
      </c>
      <c r="C82" s="10">
        <v>6096</v>
      </c>
      <c r="D82" s="10">
        <v>212</v>
      </c>
      <c r="E82" s="329">
        <v>10</v>
      </c>
      <c r="F82" s="10">
        <v>269</v>
      </c>
      <c r="G82" s="10">
        <v>0</v>
      </c>
      <c r="H82" s="10">
        <v>13</v>
      </c>
      <c r="I82" s="16">
        <v>1</v>
      </c>
      <c r="J82" s="16">
        <v>1</v>
      </c>
      <c r="K82" s="16">
        <v>1</v>
      </c>
      <c r="L82" s="16">
        <v>6</v>
      </c>
      <c r="M82" s="16">
        <v>0</v>
      </c>
      <c r="N82" s="31">
        <v>0</v>
      </c>
      <c r="O82" s="10">
        <f>SUM(C82:M82)-D82-E82</f>
        <v>6387</v>
      </c>
      <c r="P82" s="10">
        <v>4051</v>
      </c>
      <c r="Q82" s="285">
        <f>T82/W82</f>
        <v>-0.12645896516864258</v>
      </c>
      <c r="R82" s="286">
        <f>U82/X82</f>
        <v>-0.12888707037643207</v>
      </c>
      <c r="T82" s="143">
        <f t="shared" ref="T82:T93" si="23">B82-W82</f>
        <v>-1376</v>
      </c>
      <c r="U82" s="143">
        <f>O82-X82</f>
        <v>-945</v>
      </c>
      <c r="W82" s="12">
        <v>10881</v>
      </c>
      <c r="X82" s="12">
        <v>7332</v>
      </c>
    </row>
    <row r="83" spans="1:24" ht="12.75" customHeight="1" x14ac:dyDescent="0.3">
      <c r="A83" t="s">
        <v>12</v>
      </c>
      <c r="B83" s="10">
        <v>9736</v>
      </c>
      <c r="C83" s="10">
        <v>6243</v>
      </c>
      <c r="D83" s="10">
        <v>255</v>
      </c>
      <c r="E83" s="329">
        <v>20</v>
      </c>
      <c r="F83" s="10">
        <v>330</v>
      </c>
      <c r="G83" s="10">
        <v>0</v>
      </c>
      <c r="H83" s="10">
        <v>16</v>
      </c>
      <c r="I83" s="16">
        <v>0</v>
      </c>
      <c r="J83" s="16">
        <v>0</v>
      </c>
      <c r="K83" s="16">
        <v>2</v>
      </c>
      <c r="L83" s="16">
        <v>0</v>
      </c>
      <c r="M83" s="16">
        <v>0</v>
      </c>
      <c r="N83" s="31">
        <v>0</v>
      </c>
      <c r="O83" s="10">
        <f t="shared" ref="O83:O93" si="24">SUM(C83:M83)-D83-E83</f>
        <v>6591</v>
      </c>
      <c r="P83" s="10">
        <v>4987</v>
      </c>
      <c r="Q83" s="285">
        <f t="shared" ref="Q83:R93" si="25">T83/W83</f>
        <v>8.2619815411987096E-2</v>
      </c>
      <c r="R83" s="287">
        <f t="shared" si="25"/>
        <v>7.0315037349788889E-2</v>
      </c>
      <c r="T83" s="143">
        <f t="shared" si="23"/>
        <v>743</v>
      </c>
      <c r="U83" s="143">
        <f t="shared" ref="U83:U93" si="26">O83-X83</f>
        <v>433</v>
      </c>
      <c r="W83" s="12">
        <v>8993</v>
      </c>
      <c r="X83" s="12">
        <v>6158</v>
      </c>
    </row>
    <row r="84" spans="1:24" ht="12.75" customHeight="1" x14ac:dyDescent="0.25">
      <c r="A84" t="s">
        <v>13</v>
      </c>
      <c r="B84" s="381">
        <v>10004</v>
      </c>
      <c r="C84" s="381">
        <v>6460</v>
      </c>
      <c r="D84" s="381">
        <v>355</v>
      </c>
      <c r="E84" s="381">
        <v>20</v>
      </c>
      <c r="F84" s="381">
        <v>412</v>
      </c>
      <c r="G84" s="381">
        <v>2</v>
      </c>
      <c r="H84" s="381">
        <v>25</v>
      </c>
      <c r="I84" s="381">
        <v>1</v>
      </c>
      <c r="J84" s="381">
        <v>4</v>
      </c>
      <c r="K84" s="381">
        <v>1</v>
      </c>
      <c r="L84" s="381">
        <v>0</v>
      </c>
      <c r="M84" s="381">
        <v>2</v>
      </c>
      <c r="N84" s="381">
        <v>1</v>
      </c>
      <c r="O84" s="10">
        <f t="shared" si="24"/>
        <v>6907</v>
      </c>
      <c r="P84" s="10">
        <v>6929</v>
      </c>
      <c r="Q84" s="285">
        <f t="shared" si="25"/>
        <v>-0.12613556953179594</v>
      </c>
      <c r="R84" s="287">
        <f t="shared" si="25"/>
        <v>-0.12202872759628829</v>
      </c>
      <c r="T84" s="143">
        <f t="shared" si="23"/>
        <v>-1444</v>
      </c>
      <c r="U84" s="143">
        <f t="shared" si="26"/>
        <v>-960</v>
      </c>
      <c r="W84" s="12">
        <v>11448</v>
      </c>
      <c r="X84" s="12">
        <v>7867</v>
      </c>
    </row>
    <row r="85" spans="1:24" ht="12.75" customHeight="1" x14ac:dyDescent="0.3">
      <c r="A85" t="s">
        <v>14</v>
      </c>
      <c r="B85" s="10">
        <v>11449</v>
      </c>
      <c r="C85" s="10">
        <v>7119</v>
      </c>
      <c r="D85" s="10">
        <v>596</v>
      </c>
      <c r="E85" s="329">
        <v>57</v>
      </c>
      <c r="F85" s="10">
        <v>453</v>
      </c>
      <c r="G85" s="10">
        <v>0</v>
      </c>
      <c r="H85" s="10">
        <v>38</v>
      </c>
      <c r="I85" s="16">
        <v>4</v>
      </c>
      <c r="J85" s="16">
        <v>19</v>
      </c>
      <c r="K85" s="16">
        <v>2</v>
      </c>
      <c r="L85" s="16">
        <v>6</v>
      </c>
      <c r="M85" s="16">
        <v>3</v>
      </c>
      <c r="N85" s="31">
        <v>19</v>
      </c>
      <c r="O85" s="10">
        <f t="shared" si="24"/>
        <v>7644</v>
      </c>
      <c r="P85" s="10">
        <v>7451</v>
      </c>
      <c r="Q85" s="285">
        <f t="shared" si="25"/>
        <v>-4.6155127884695495E-2</v>
      </c>
      <c r="R85" s="287">
        <f t="shared" si="25"/>
        <v>-9.5384615384615387E-2</v>
      </c>
      <c r="T85" s="143">
        <f t="shared" si="23"/>
        <v>-554</v>
      </c>
      <c r="U85" s="143">
        <f t="shared" si="26"/>
        <v>-806</v>
      </c>
      <c r="W85" s="12">
        <v>12003</v>
      </c>
      <c r="X85" s="12">
        <v>8450</v>
      </c>
    </row>
    <row r="86" spans="1:24" ht="12.75" customHeight="1" x14ac:dyDescent="0.3">
      <c r="A86" t="s">
        <v>15</v>
      </c>
      <c r="B86" s="10">
        <v>14243</v>
      </c>
      <c r="C86" s="10">
        <v>8463</v>
      </c>
      <c r="D86" s="10">
        <v>770</v>
      </c>
      <c r="E86" s="329">
        <v>50</v>
      </c>
      <c r="F86" s="10">
        <v>422</v>
      </c>
      <c r="G86" s="10">
        <v>2</v>
      </c>
      <c r="H86" s="10">
        <v>24</v>
      </c>
      <c r="I86" s="16">
        <v>1</v>
      </c>
      <c r="J86" s="16">
        <v>49</v>
      </c>
      <c r="K86" s="16">
        <v>9</v>
      </c>
      <c r="L86" s="16">
        <v>12</v>
      </c>
      <c r="M86" s="16">
        <v>1</v>
      </c>
      <c r="N86" s="31">
        <v>49</v>
      </c>
      <c r="O86" s="10">
        <f t="shared" si="24"/>
        <v>8983</v>
      </c>
      <c r="P86" s="10">
        <v>7165</v>
      </c>
      <c r="Q86" s="285">
        <f t="shared" si="25"/>
        <v>-0.14193626122055544</v>
      </c>
      <c r="R86" s="287">
        <f t="shared" si="25"/>
        <v>-0.1915946724262059</v>
      </c>
      <c r="T86" s="143">
        <f t="shared" si="23"/>
        <v>-2356</v>
      </c>
      <c r="U86" s="143">
        <f t="shared" si="26"/>
        <v>-2129</v>
      </c>
      <c r="W86" s="12">
        <v>16599</v>
      </c>
      <c r="X86" s="12">
        <v>11112</v>
      </c>
    </row>
    <row r="87" spans="1:24" ht="12.75" customHeight="1" x14ac:dyDescent="0.3">
      <c r="A87" t="s">
        <v>16</v>
      </c>
      <c r="B87" s="10">
        <v>18825</v>
      </c>
      <c r="C87" s="10">
        <v>9810</v>
      </c>
      <c r="D87" s="10">
        <v>745</v>
      </c>
      <c r="E87" s="329">
        <v>79</v>
      </c>
      <c r="F87" s="10">
        <v>573</v>
      </c>
      <c r="G87" s="10">
        <v>0</v>
      </c>
      <c r="H87" s="10">
        <v>47</v>
      </c>
      <c r="I87" s="16">
        <v>4</v>
      </c>
      <c r="J87" s="16">
        <v>77</v>
      </c>
      <c r="K87" s="16">
        <v>105</v>
      </c>
      <c r="L87" s="16">
        <v>47</v>
      </c>
      <c r="M87" s="16">
        <v>1</v>
      </c>
      <c r="N87" s="31">
        <v>10</v>
      </c>
      <c r="O87" s="10">
        <f t="shared" si="24"/>
        <v>10664</v>
      </c>
      <c r="P87" s="10">
        <v>10225</v>
      </c>
      <c r="Q87" s="285">
        <f t="shared" si="25"/>
        <v>-7.6028271326200061E-2</v>
      </c>
      <c r="R87" s="287">
        <f t="shared" si="25"/>
        <v>-0.12897165727354407</v>
      </c>
      <c r="T87" s="143">
        <f t="shared" si="23"/>
        <v>-1549</v>
      </c>
      <c r="U87" s="143">
        <f t="shared" si="26"/>
        <v>-1579</v>
      </c>
      <c r="W87" s="12">
        <v>20374</v>
      </c>
      <c r="X87" s="12">
        <v>12243</v>
      </c>
    </row>
    <row r="88" spans="1:24" ht="12.75" customHeight="1" x14ac:dyDescent="0.3">
      <c r="A88" t="s">
        <v>17</v>
      </c>
      <c r="B88" s="10">
        <v>26232</v>
      </c>
      <c r="C88" s="10">
        <v>11484</v>
      </c>
      <c r="D88" s="10">
        <v>809</v>
      </c>
      <c r="E88" s="329">
        <v>80</v>
      </c>
      <c r="F88" s="10">
        <v>404</v>
      </c>
      <c r="G88" s="10">
        <v>2</v>
      </c>
      <c r="H88" s="10">
        <v>41</v>
      </c>
      <c r="I88" s="16">
        <v>10</v>
      </c>
      <c r="J88" s="16">
        <v>83</v>
      </c>
      <c r="K88" s="16">
        <v>646</v>
      </c>
      <c r="L88" s="16">
        <v>79</v>
      </c>
      <c r="M88" s="16">
        <v>0</v>
      </c>
      <c r="N88" s="31">
        <v>1</v>
      </c>
      <c r="O88" s="10">
        <f t="shared" si="24"/>
        <v>12749</v>
      </c>
      <c r="P88" s="10">
        <v>5731</v>
      </c>
      <c r="Q88" s="285">
        <f t="shared" si="25"/>
        <v>-3.7075104617869468E-2</v>
      </c>
      <c r="R88" s="287">
        <f t="shared" si="25"/>
        <v>-0.13254405661019256</v>
      </c>
      <c r="T88" s="143">
        <f t="shared" si="23"/>
        <v>-1010</v>
      </c>
      <c r="U88" s="143">
        <f t="shared" si="26"/>
        <v>-1948</v>
      </c>
      <c r="W88" s="12">
        <v>27242</v>
      </c>
      <c r="X88" s="12">
        <v>14697</v>
      </c>
    </row>
    <row r="89" spans="1:24" ht="12.75" customHeight="1" x14ac:dyDescent="0.3">
      <c r="A89" t="s">
        <v>18</v>
      </c>
      <c r="B89" s="10"/>
      <c r="C89" s="10"/>
      <c r="D89" s="10"/>
      <c r="E89" s="329"/>
      <c r="F89" s="10"/>
      <c r="G89" s="10"/>
      <c r="H89" s="10"/>
      <c r="I89" s="16"/>
      <c r="J89" s="16"/>
      <c r="K89" s="16"/>
      <c r="L89" s="16"/>
      <c r="M89" s="16"/>
      <c r="N89" s="31"/>
      <c r="O89" s="10">
        <f t="shared" si="24"/>
        <v>0</v>
      </c>
      <c r="P89" s="10"/>
      <c r="Q89" s="285">
        <f t="shared" si="25"/>
        <v>-1</v>
      </c>
      <c r="R89" s="287">
        <f t="shared" si="25"/>
        <v>-1</v>
      </c>
      <c r="T89" s="143">
        <f t="shared" si="23"/>
        <v>-20129</v>
      </c>
      <c r="U89" s="143">
        <f t="shared" si="26"/>
        <v>-12318</v>
      </c>
      <c r="W89" s="12">
        <v>20129</v>
      </c>
      <c r="X89" s="12">
        <v>12318</v>
      </c>
    </row>
    <row r="90" spans="1:24" ht="12.75" customHeight="1" x14ac:dyDescent="0.3">
      <c r="A90" t="s">
        <v>19</v>
      </c>
      <c r="B90" s="10"/>
      <c r="C90" s="10"/>
      <c r="D90" s="10"/>
      <c r="E90" s="329"/>
      <c r="F90" s="10"/>
      <c r="G90" s="10"/>
      <c r="H90" s="10"/>
      <c r="I90" s="16"/>
      <c r="J90" s="16"/>
      <c r="K90" s="16"/>
      <c r="L90" s="16"/>
      <c r="M90" s="16"/>
      <c r="N90" s="31"/>
      <c r="O90" s="10">
        <f t="shared" si="24"/>
        <v>0</v>
      </c>
      <c r="P90" s="10"/>
      <c r="Q90" s="285">
        <f t="shared" si="25"/>
        <v>-1</v>
      </c>
      <c r="R90" s="287">
        <f t="shared" si="25"/>
        <v>-1</v>
      </c>
      <c r="T90" s="143">
        <f t="shared" si="23"/>
        <v>-14833</v>
      </c>
      <c r="U90" s="143">
        <f t="shared" si="26"/>
        <v>-9988</v>
      </c>
      <c r="W90" s="12">
        <v>14833</v>
      </c>
      <c r="X90" s="12">
        <v>9988</v>
      </c>
    </row>
    <row r="91" spans="1:24" ht="12.75" customHeight="1" x14ac:dyDescent="0.3">
      <c r="A91" t="s">
        <v>20</v>
      </c>
      <c r="B91" s="10"/>
      <c r="C91" s="10"/>
      <c r="D91" s="10"/>
      <c r="E91" s="329"/>
      <c r="F91" s="10"/>
      <c r="G91" s="10"/>
      <c r="H91" s="10"/>
      <c r="I91" s="16"/>
      <c r="J91" s="16"/>
      <c r="K91" s="16"/>
      <c r="L91" s="16"/>
      <c r="M91" s="16"/>
      <c r="N91" s="31"/>
      <c r="O91" s="10">
        <f t="shared" si="24"/>
        <v>0</v>
      </c>
      <c r="P91" s="10"/>
      <c r="Q91" s="285">
        <f t="shared" si="25"/>
        <v>-1</v>
      </c>
      <c r="R91" s="287">
        <f t="shared" si="25"/>
        <v>-1</v>
      </c>
      <c r="T91" s="143">
        <f t="shared" si="23"/>
        <v>-12930</v>
      </c>
      <c r="U91" s="143">
        <f t="shared" si="26"/>
        <v>-8083</v>
      </c>
      <c r="W91" s="12">
        <v>12930</v>
      </c>
      <c r="X91" s="12">
        <v>8083</v>
      </c>
    </row>
    <row r="92" spans="1:24" ht="12.75" customHeight="1" x14ac:dyDescent="0.3">
      <c r="A92" t="s">
        <v>21</v>
      </c>
      <c r="B92" s="10"/>
      <c r="C92" s="10"/>
      <c r="D92" s="10"/>
      <c r="E92" s="329"/>
      <c r="F92" s="10"/>
      <c r="G92" s="10"/>
      <c r="H92" s="10"/>
      <c r="I92" s="16"/>
      <c r="J92" s="16"/>
      <c r="K92" s="16"/>
      <c r="L92" s="16"/>
      <c r="M92" s="16"/>
      <c r="N92" s="31"/>
      <c r="O92" s="10">
        <f t="shared" si="24"/>
        <v>0</v>
      </c>
      <c r="P92" s="10"/>
      <c r="Q92" s="285">
        <f t="shared" si="25"/>
        <v>-1</v>
      </c>
      <c r="R92" s="287">
        <f t="shared" si="25"/>
        <v>-1</v>
      </c>
      <c r="T92" s="143">
        <f t="shared" si="23"/>
        <v>-10005</v>
      </c>
      <c r="U92" s="143">
        <f t="shared" si="26"/>
        <v>-6737</v>
      </c>
      <c r="W92" s="12">
        <v>10005</v>
      </c>
      <c r="X92" s="12">
        <v>6737</v>
      </c>
    </row>
    <row r="93" spans="1:24" ht="12.75" customHeight="1" x14ac:dyDescent="0.3">
      <c r="A93" s="4" t="s">
        <v>22</v>
      </c>
      <c r="B93" s="11"/>
      <c r="C93" s="11"/>
      <c r="D93" s="11"/>
      <c r="E93" s="296"/>
      <c r="F93" s="11"/>
      <c r="G93" s="11"/>
      <c r="H93" s="11"/>
      <c r="I93" s="376"/>
      <c r="J93" s="376"/>
      <c r="K93" s="376"/>
      <c r="L93" s="376"/>
      <c r="M93" s="376"/>
      <c r="N93" s="30"/>
      <c r="O93" s="10">
        <f t="shared" si="24"/>
        <v>0</v>
      </c>
      <c r="P93" s="11"/>
      <c r="Q93" s="288">
        <f t="shared" si="25"/>
        <v>-1</v>
      </c>
      <c r="R93" s="289">
        <f t="shared" si="25"/>
        <v>-1</v>
      </c>
      <c r="T93" s="169">
        <f t="shared" si="23"/>
        <v>-10902</v>
      </c>
      <c r="U93" s="169">
        <f t="shared" si="26"/>
        <v>-7025</v>
      </c>
      <c r="W93" s="20">
        <v>10902</v>
      </c>
      <c r="X93" s="20">
        <v>7025</v>
      </c>
    </row>
    <row r="94" spans="1:24" ht="12.75" customHeight="1" x14ac:dyDescent="0.3">
      <c r="A94" s="3" t="s">
        <v>137</v>
      </c>
      <c r="B94" s="8">
        <f t="shared" ref="B94:P94" si="27">SUM(B82:B93)</f>
        <v>99994</v>
      </c>
      <c r="C94" s="8">
        <f t="shared" si="27"/>
        <v>55675</v>
      </c>
      <c r="D94" s="8">
        <f t="shared" si="27"/>
        <v>3742</v>
      </c>
      <c r="E94" s="8">
        <f t="shared" si="27"/>
        <v>316</v>
      </c>
      <c r="F94" s="8">
        <f t="shared" si="27"/>
        <v>2863</v>
      </c>
      <c r="G94" s="8">
        <f t="shared" si="27"/>
        <v>6</v>
      </c>
      <c r="H94" s="8">
        <f t="shared" si="27"/>
        <v>204</v>
      </c>
      <c r="I94" s="8">
        <f t="shared" si="27"/>
        <v>21</v>
      </c>
      <c r="J94" s="8">
        <f t="shared" si="27"/>
        <v>233</v>
      </c>
      <c r="K94" s="8">
        <f t="shared" si="27"/>
        <v>766</v>
      </c>
      <c r="L94" s="8">
        <f t="shared" si="27"/>
        <v>150</v>
      </c>
      <c r="M94" s="8">
        <f t="shared" si="27"/>
        <v>7</v>
      </c>
      <c r="N94" s="31">
        <f t="shared" si="27"/>
        <v>80</v>
      </c>
      <c r="O94" s="8">
        <f t="shared" si="27"/>
        <v>59925</v>
      </c>
      <c r="P94" s="8">
        <f t="shared" si="27"/>
        <v>46539</v>
      </c>
      <c r="Q94" s="377">
        <f>T94/W94</f>
        <v>-0.43294449894804893</v>
      </c>
      <c r="R94" s="190">
        <f>U94/X94</f>
        <v>-0.46500312472100708</v>
      </c>
      <c r="T94" s="143">
        <f>SUM(T82:T93)</f>
        <v>-76345</v>
      </c>
      <c r="U94" s="143">
        <f>SUM(U82:U93)</f>
        <v>-52085</v>
      </c>
      <c r="W94" s="12">
        <f>SUM(W82:W93)</f>
        <v>176339</v>
      </c>
      <c r="X94" s="12">
        <f>SUM(X82:X93)</f>
        <v>112010</v>
      </c>
    </row>
    <row r="95" spans="1:24" ht="12.75" customHeight="1" x14ac:dyDescent="0.3">
      <c r="A95" s="5" t="s">
        <v>131</v>
      </c>
      <c r="B95" s="9">
        <v>176339</v>
      </c>
      <c r="C95" s="9">
        <v>99513</v>
      </c>
      <c r="D95" s="9">
        <v>4865</v>
      </c>
      <c r="E95" s="9">
        <v>480</v>
      </c>
      <c r="F95" s="9">
        <v>4648</v>
      </c>
      <c r="G95" s="9">
        <v>52</v>
      </c>
      <c r="H95" s="9">
        <v>344</v>
      </c>
      <c r="I95" s="9">
        <v>29</v>
      </c>
      <c r="J95" s="9">
        <v>152</v>
      </c>
      <c r="K95" s="9">
        <v>1517</v>
      </c>
      <c r="L95" s="9">
        <v>375</v>
      </c>
      <c r="M95" s="9">
        <v>35</v>
      </c>
      <c r="N95" s="9">
        <v>377</v>
      </c>
      <c r="O95" s="9">
        <v>112010</v>
      </c>
      <c r="P95" s="9">
        <v>76488</v>
      </c>
      <c r="Q95" s="378"/>
      <c r="R95" s="379"/>
    </row>
    <row r="96" spans="1:24" ht="12.75" customHeight="1" x14ac:dyDescent="0.3">
      <c r="A96" s="5" t="s">
        <v>23</v>
      </c>
      <c r="B96" s="9">
        <f t="shared" ref="B96:P96" si="28">B94-B95</f>
        <v>-76345</v>
      </c>
      <c r="C96" s="9">
        <f t="shared" si="28"/>
        <v>-43838</v>
      </c>
      <c r="D96" s="9">
        <f t="shared" si="28"/>
        <v>-1123</v>
      </c>
      <c r="E96" s="9">
        <f t="shared" si="28"/>
        <v>-164</v>
      </c>
      <c r="F96" s="9">
        <f t="shared" si="28"/>
        <v>-1785</v>
      </c>
      <c r="G96" s="9">
        <f t="shared" si="28"/>
        <v>-46</v>
      </c>
      <c r="H96" s="9">
        <f t="shared" si="28"/>
        <v>-140</v>
      </c>
      <c r="I96" s="9">
        <f t="shared" si="28"/>
        <v>-8</v>
      </c>
      <c r="J96" s="9">
        <f t="shared" si="28"/>
        <v>81</v>
      </c>
      <c r="K96" s="9">
        <f t="shared" si="28"/>
        <v>-751</v>
      </c>
      <c r="L96" s="9">
        <f t="shared" si="28"/>
        <v>-225</v>
      </c>
      <c r="M96" s="9">
        <f t="shared" si="28"/>
        <v>-28</v>
      </c>
      <c r="N96" s="30">
        <f t="shared" si="28"/>
        <v>-297</v>
      </c>
      <c r="O96" s="9">
        <f t="shared" si="28"/>
        <v>-52085</v>
      </c>
      <c r="P96" s="9">
        <f t="shared" si="28"/>
        <v>-29949</v>
      </c>
      <c r="Q96" s="380"/>
      <c r="R96" s="158"/>
    </row>
  </sheetData>
  <phoneticPr fontId="4" type="noConversion"/>
  <printOptions headings="1" gridLines="1" gridLinesSet="0"/>
  <pageMargins left="0.39370078740157483" right="0.39370078740157483" top="0.78740157480314965" bottom="0.78740157480314965" header="0.51181102362204722" footer="0.51181102362204722"/>
  <pageSetup paperSize="9" scale="1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7:X236"/>
  <sheetViews>
    <sheetView topLeftCell="A197" zoomScale="90" zoomScaleNormal="90" workbookViewId="0">
      <selection activeCell="G125" sqref="G125"/>
    </sheetView>
  </sheetViews>
  <sheetFormatPr defaultRowHeight="12.75" customHeight="1" x14ac:dyDescent="0.25"/>
  <cols>
    <col min="1" max="1" width="10.453125" customWidth="1"/>
    <col min="2" max="2" width="8.08984375" bestFit="1" customWidth="1"/>
    <col min="3" max="3" width="10.36328125" bestFit="1" customWidth="1"/>
    <col min="4" max="4" width="7.453125" bestFit="1" customWidth="1"/>
    <col min="5" max="5" width="5.90625" bestFit="1" customWidth="1"/>
    <col min="6" max="6" width="7.90625" bestFit="1" customWidth="1"/>
    <col min="7" max="7" width="9.54296875" bestFit="1" customWidth="1"/>
    <col min="8" max="8" width="9.08984375" customWidth="1"/>
    <col min="9" max="9" width="10" customWidth="1"/>
    <col min="10" max="10" width="7.08984375" bestFit="1" customWidth="1"/>
    <col min="11" max="11" width="8.6328125" bestFit="1" customWidth="1"/>
    <col min="12" max="12" width="8.90625" bestFit="1" customWidth="1"/>
    <col min="13" max="13" width="10.90625" bestFit="1" customWidth="1"/>
    <col min="14" max="14" width="11.6328125" bestFit="1" customWidth="1"/>
    <col min="15" max="15" width="11.90625" customWidth="1"/>
    <col min="16" max="17" width="12.90625" bestFit="1" customWidth="1"/>
    <col min="18" max="18" width="9.90625" customWidth="1"/>
    <col min="20" max="20" width="9.453125" customWidth="1"/>
  </cols>
  <sheetData>
    <row r="7" spans="1:23" ht="13" x14ac:dyDescent="0.3">
      <c r="A7" s="1" t="s">
        <v>0</v>
      </c>
      <c r="B7" s="2" t="s">
        <v>1</v>
      </c>
      <c r="C7" s="2" t="s">
        <v>2</v>
      </c>
      <c r="D7" s="2" t="s">
        <v>3</v>
      </c>
      <c r="E7" s="2" t="s">
        <v>4</v>
      </c>
      <c r="F7" s="2" t="s">
        <v>5</v>
      </c>
      <c r="G7" s="67" t="s">
        <v>49</v>
      </c>
      <c r="H7" s="67" t="s">
        <v>46</v>
      </c>
      <c r="I7" s="67" t="s">
        <v>48</v>
      </c>
      <c r="J7" s="67" t="s">
        <v>47</v>
      </c>
      <c r="K7" s="67" t="s">
        <v>52</v>
      </c>
      <c r="L7" s="2" t="s">
        <v>6</v>
      </c>
      <c r="M7" s="33" t="s">
        <v>44</v>
      </c>
      <c r="N7" s="1" t="s">
        <v>8</v>
      </c>
      <c r="O7" s="2" t="s">
        <v>10</v>
      </c>
      <c r="P7" s="2"/>
      <c r="Q7" s="2"/>
      <c r="S7" s="3"/>
      <c r="T7" s="3"/>
      <c r="V7" s="3"/>
      <c r="W7" s="3"/>
    </row>
    <row r="8" spans="1:23" ht="13" x14ac:dyDescent="0.25">
      <c r="A8" t="s">
        <v>11</v>
      </c>
      <c r="B8" s="10">
        <f>B30+B49</f>
        <v>4053</v>
      </c>
      <c r="C8" s="10">
        <f>C30+C49</f>
        <v>2231</v>
      </c>
      <c r="D8" s="10">
        <f t="shared" ref="D8:M8" si="0">D30+D49</f>
        <v>144</v>
      </c>
      <c r="E8" s="10">
        <f t="shared" si="0"/>
        <v>0</v>
      </c>
      <c r="F8" s="10">
        <f t="shared" si="0"/>
        <v>40</v>
      </c>
      <c r="G8" s="10">
        <f t="shared" si="0"/>
        <v>1</v>
      </c>
      <c r="H8" s="10">
        <f t="shared" si="0"/>
        <v>1</v>
      </c>
      <c r="I8" s="10">
        <f t="shared" si="0"/>
        <v>1</v>
      </c>
      <c r="J8" s="10">
        <f t="shared" si="0"/>
        <v>2</v>
      </c>
      <c r="K8" s="10">
        <f t="shared" si="0"/>
        <v>104</v>
      </c>
      <c r="L8" s="10">
        <f t="shared" si="0"/>
        <v>1</v>
      </c>
      <c r="M8" s="10">
        <f t="shared" si="0"/>
        <v>0</v>
      </c>
      <c r="N8" s="10">
        <f>SUM(C8:L8)</f>
        <v>2525</v>
      </c>
      <c r="O8" s="10">
        <f>O30+O49</f>
        <v>1943</v>
      </c>
      <c r="P8" s="188"/>
      <c r="Q8" s="179"/>
      <c r="R8" s="22"/>
      <c r="S8" s="143"/>
      <c r="T8" s="143"/>
      <c r="V8" s="12"/>
      <c r="W8" s="12"/>
    </row>
    <row r="9" spans="1:23" ht="13" x14ac:dyDescent="0.25">
      <c r="A9" t="s">
        <v>12</v>
      </c>
      <c r="B9" s="10">
        <f>B31+B50</f>
        <v>3760</v>
      </c>
      <c r="C9" s="10">
        <f t="shared" ref="C9:M9" si="1">C31+C50</f>
        <v>2097</v>
      </c>
      <c r="D9" s="10">
        <f t="shared" si="1"/>
        <v>124</v>
      </c>
      <c r="E9" s="10">
        <f t="shared" si="1"/>
        <v>0</v>
      </c>
      <c r="F9" s="10">
        <f t="shared" si="1"/>
        <v>12</v>
      </c>
      <c r="G9" s="10">
        <f t="shared" si="1"/>
        <v>1</v>
      </c>
      <c r="H9" s="10">
        <f t="shared" si="1"/>
        <v>5</v>
      </c>
      <c r="I9" s="10">
        <f t="shared" si="1"/>
        <v>0</v>
      </c>
      <c r="J9" s="10">
        <f t="shared" si="1"/>
        <v>0</v>
      </c>
      <c r="K9" s="10">
        <f t="shared" si="1"/>
        <v>104</v>
      </c>
      <c r="L9" s="10">
        <f t="shared" si="1"/>
        <v>1</v>
      </c>
      <c r="M9" s="10">
        <f t="shared" si="1"/>
        <v>0</v>
      </c>
      <c r="N9" s="10">
        <f t="shared" ref="N9:N19" si="2">SUM(C9:L9)</f>
        <v>2344</v>
      </c>
      <c r="O9" s="10">
        <v>0</v>
      </c>
      <c r="P9" s="188"/>
      <c r="Q9" s="181"/>
      <c r="R9" s="22"/>
      <c r="S9" s="143"/>
      <c r="T9" s="143"/>
      <c r="V9" s="12"/>
      <c r="W9" s="12"/>
    </row>
    <row r="10" spans="1:23" ht="13" x14ac:dyDescent="0.25">
      <c r="A10" t="s">
        <v>13</v>
      </c>
      <c r="B10" s="10">
        <f t="shared" ref="B10:M10" si="3">B32+B51</f>
        <v>5031</v>
      </c>
      <c r="C10" s="10">
        <f t="shared" si="3"/>
        <v>2704</v>
      </c>
      <c r="D10" s="10">
        <f t="shared" si="3"/>
        <v>188</v>
      </c>
      <c r="E10" s="10">
        <f t="shared" si="3"/>
        <v>1</v>
      </c>
      <c r="F10" s="10">
        <f t="shared" si="3"/>
        <v>27</v>
      </c>
      <c r="G10" s="10">
        <f t="shared" si="3"/>
        <v>0</v>
      </c>
      <c r="H10" s="10">
        <f t="shared" si="3"/>
        <v>8</v>
      </c>
      <c r="I10" s="10">
        <f t="shared" si="3"/>
        <v>0</v>
      </c>
      <c r="J10" s="10">
        <f t="shared" si="3"/>
        <v>2</v>
      </c>
      <c r="K10" s="10">
        <f t="shared" si="3"/>
        <v>131</v>
      </c>
      <c r="L10" s="10">
        <f t="shared" si="3"/>
        <v>7</v>
      </c>
      <c r="M10" s="10">
        <f t="shared" si="3"/>
        <v>2</v>
      </c>
      <c r="N10" s="10">
        <f>SUM(C10:L10)</f>
        <v>3068</v>
      </c>
      <c r="O10" s="10">
        <v>0</v>
      </c>
      <c r="P10" s="188"/>
      <c r="Q10" s="181"/>
      <c r="R10" s="22"/>
      <c r="S10" s="143"/>
      <c r="T10" s="143"/>
      <c r="V10" s="12"/>
      <c r="W10" s="12"/>
    </row>
    <row r="11" spans="1:23" ht="13" x14ac:dyDescent="0.25">
      <c r="A11" t="s">
        <v>14</v>
      </c>
      <c r="B11" s="10">
        <f t="shared" ref="B11:M11" si="4">B33+B52</f>
        <v>6185</v>
      </c>
      <c r="C11" s="10">
        <f t="shared" si="4"/>
        <v>3094</v>
      </c>
      <c r="D11" s="10">
        <f t="shared" si="4"/>
        <v>173</v>
      </c>
      <c r="E11" s="10">
        <f t="shared" si="4"/>
        <v>0</v>
      </c>
      <c r="F11" s="10">
        <f t="shared" si="4"/>
        <v>22</v>
      </c>
      <c r="G11" s="10">
        <f t="shared" si="4"/>
        <v>2</v>
      </c>
      <c r="H11" s="10">
        <f t="shared" si="4"/>
        <v>11</v>
      </c>
      <c r="I11" s="10">
        <f t="shared" si="4"/>
        <v>4</v>
      </c>
      <c r="J11" s="10">
        <f t="shared" si="4"/>
        <v>5</v>
      </c>
      <c r="K11" s="10">
        <f t="shared" si="4"/>
        <v>260</v>
      </c>
      <c r="L11" s="10">
        <f t="shared" si="4"/>
        <v>1</v>
      </c>
      <c r="M11" s="10">
        <f t="shared" si="4"/>
        <v>2</v>
      </c>
      <c r="N11" s="10">
        <f t="shared" si="2"/>
        <v>3572</v>
      </c>
      <c r="O11" s="10">
        <v>0</v>
      </c>
      <c r="P11" s="188"/>
      <c r="Q11" s="181"/>
      <c r="R11" s="22"/>
      <c r="S11" s="143"/>
      <c r="T11" s="143"/>
      <c r="U11" s="79"/>
      <c r="V11" s="12"/>
      <c r="W11" s="12"/>
    </row>
    <row r="12" spans="1:23" ht="13" x14ac:dyDescent="0.25">
      <c r="A12" t="s">
        <v>15</v>
      </c>
      <c r="B12" s="10">
        <f t="shared" ref="B12:M12" si="5">B34+B53</f>
        <v>8421</v>
      </c>
      <c r="C12" s="10">
        <f t="shared" si="5"/>
        <v>3442</v>
      </c>
      <c r="D12" s="10">
        <f t="shared" si="5"/>
        <v>198</v>
      </c>
      <c r="E12" s="10">
        <f t="shared" si="5"/>
        <v>38</v>
      </c>
      <c r="F12" s="10">
        <f t="shared" si="5"/>
        <v>32</v>
      </c>
      <c r="G12" s="10">
        <f t="shared" si="5"/>
        <v>9</v>
      </c>
      <c r="H12" s="10">
        <f t="shared" si="5"/>
        <v>48</v>
      </c>
      <c r="I12" s="10">
        <f t="shared" si="5"/>
        <v>195</v>
      </c>
      <c r="J12" s="10">
        <f t="shared" si="5"/>
        <v>57</v>
      </c>
      <c r="K12" s="10">
        <f t="shared" si="5"/>
        <v>260</v>
      </c>
      <c r="L12" s="10">
        <f t="shared" si="5"/>
        <v>4</v>
      </c>
      <c r="M12" s="10">
        <f t="shared" si="5"/>
        <v>4</v>
      </c>
      <c r="N12" s="10">
        <f t="shared" si="2"/>
        <v>4283</v>
      </c>
      <c r="O12" s="10">
        <v>0</v>
      </c>
      <c r="P12" s="188"/>
      <c r="Q12" s="181"/>
      <c r="R12" s="22"/>
      <c r="S12" s="143"/>
      <c r="T12" s="143"/>
      <c r="V12" s="12"/>
      <c r="W12" s="12"/>
    </row>
    <row r="13" spans="1:23" ht="13" x14ac:dyDescent="0.25">
      <c r="A13" t="s">
        <v>16</v>
      </c>
      <c r="B13" s="10">
        <f t="shared" ref="B13:M13" si="6">B35+B54</f>
        <v>9227</v>
      </c>
      <c r="C13" s="10">
        <f t="shared" si="6"/>
        <v>3863</v>
      </c>
      <c r="D13" s="10">
        <f t="shared" si="6"/>
        <v>253</v>
      </c>
      <c r="E13" s="10">
        <f t="shared" si="6"/>
        <v>20</v>
      </c>
      <c r="F13" s="10">
        <f t="shared" si="6"/>
        <v>25</v>
      </c>
      <c r="G13" s="10">
        <f t="shared" si="6"/>
        <v>22</v>
      </c>
      <c r="H13" s="10">
        <f t="shared" si="6"/>
        <v>131</v>
      </c>
      <c r="I13" s="10">
        <f t="shared" si="6"/>
        <v>588</v>
      </c>
      <c r="J13" s="10">
        <f t="shared" si="6"/>
        <v>179</v>
      </c>
      <c r="K13" s="10">
        <f t="shared" si="6"/>
        <v>272</v>
      </c>
      <c r="L13" s="10">
        <f t="shared" si="6"/>
        <v>1</v>
      </c>
      <c r="M13" s="10">
        <f t="shared" si="6"/>
        <v>12</v>
      </c>
      <c r="N13" s="10">
        <f t="shared" si="2"/>
        <v>5354</v>
      </c>
      <c r="O13" s="10">
        <v>0</v>
      </c>
      <c r="P13" s="188"/>
      <c r="Q13" s="181"/>
      <c r="R13" s="22"/>
      <c r="S13" s="143"/>
      <c r="T13" s="143"/>
      <c r="V13" s="12"/>
      <c r="W13" s="12"/>
    </row>
    <row r="14" spans="1:23" ht="13" x14ac:dyDescent="0.25">
      <c r="A14" t="s">
        <v>17</v>
      </c>
      <c r="B14" s="10">
        <f t="shared" ref="B14:M14" si="7">B36+B55</f>
        <v>15342</v>
      </c>
      <c r="C14" s="10">
        <f t="shared" si="7"/>
        <v>5004</v>
      </c>
      <c r="D14" s="10">
        <f t="shared" si="7"/>
        <v>213</v>
      </c>
      <c r="E14" s="10">
        <f t="shared" si="7"/>
        <v>29</v>
      </c>
      <c r="F14" s="10">
        <f t="shared" si="7"/>
        <v>17</v>
      </c>
      <c r="G14" s="10">
        <f t="shared" si="7"/>
        <v>56</v>
      </c>
      <c r="H14" s="10">
        <f t="shared" si="7"/>
        <v>281</v>
      </c>
      <c r="I14" s="10">
        <f t="shared" si="7"/>
        <v>1918</v>
      </c>
      <c r="J14" s="10">
        <f t="shared" si="7"/>
        <v>385</v>
      </c>
      <c r="K14" s="10">
        <f t="shared" si="7"/>
        <v>210</v>
      </c>
      <c r="L14" s="10">
        <f t="shared" si="7"/>
        <v>14</v>
      </c>
      <c r="M14" s="10">
        <f t="shared" si="7"/>
        <v>10</v>
      </c>
      <c r="N14" s="10">
        <f t="shared" si="2"/>
        <v>8127</v>
      </c>
      <c r="O14" s="10">
        <v>0</v>
      </c>
      <c r="P14" s="188"/>
      <c r="Q14" s="181"/>
      <c r="R14" s="22"/>
      <c r="S14" s="143"/>
      <c r="T14" s="143"/>
      <c r="V14" s="12"/>
      <c r="W14" s="12"/>
    </row>
    <row r="15" spans="1:23" ht="13" x14ac:dyDescent="0.25">
      <c r="A15" t="s">
        <v>18</v>
      </c>
      <c r="B15" s="10">
        <f>B37+B56</f>
        <v>12389</v>
      </c>
      <c r="C15" s="10">
        <f t="shared" ref="C15:M15" si="8">C37+C56</f>
        <v>4023</v>
      </c>
      <c r="D15" s="10">
        <f t="shared" si="8"/>
        <v>307</v>
      </c>
      <c r="E15" s="10">
        <f t="shared" si="8"/>
        <v>48</v>
      </c>
      <c r="F15" s="10">
        <f t="shared" si="8"/>
        <v>26</v>
      </c>
      <c r="G15" s="10">
        <f t="shared" si="8"/>
        <v>17</v>
      </c>
      <c r="H15" s="10">
        <f t="shared" si="8"/>
        <v>140</v>
      </c>
      <c r="I15" s="10">
        <f t="shared" si="8"/>
        <v>931</v>
      </c>
      <c r="J15" s="10">
        <f t="shared" si="8"/>
        <v>295</v>
      </c>
      <c r="K15" s="10">
        <f t="shared" si="8"/>
        <v>216</v>
      </c>
      <c r="L15" s="10">
        <f t="shared" si="8"/>
        <v>9</v>
      </c>
      <c r="M15" s="10">
        <f t="shared" si="8"/>
        <v>0</v>
      </c>
      <c r="N15" s="10">
        <f t="shared" si="2"/>
        <v>6012</v>
      </c>
      <c r="O15" s="10">
        <v>0</v>
      </c>
      <c r="P15" s="188"/>
      <c r="Q15" s="181"/>
      <c r="R15" s="22"/>
      <c r="S15" s="143"/>
      <c r="T15" s="143"/>
      <c r="V15" s="12"/>
      <c r="W15" s="12"/>
    </row>
    <row r="16" spans="1:23" ht="13" x14ac:dyDescent="0.25">
      <c r="A16" t="s">
        <v>19</v>
      </c>
      <c r="B16" s="10">
        <f t="shared" ref="B16:M16" si="9">B38+B57</f>
        <v>7344</v>
      </c>
      <c r="C16" s="10">
        <f t="shared" si="9"/>
        <v>3202</v>
      </c>
      <c r="D16" s="10">
        <f t="shared" si="9"/>
        <v>236</v>
      </c>
      <c r="E16" s="10">
        <f t="shared" si="9"/>
        <v>6</v>
      </c>
      <c r="F16" s="10">
        <f t="shared" si="9"/>
        <v>25</v>
      </c>
      <c r="G16" s="10">
        <f t="shared" si="9"/>
        <v>19</v>
      </c>
      <c r="H16" s="10">
        <f t="shared" si="9"/>
        <v>38</v>
      </c>
      <c r="I16" s="10">
        <f t="shared" si="9"/>
        <v>83</v>
      </c>
      <c r="J16" s="10">
        <f t="shared" si="9"/>
        <v>27</v>
      </c>
      <c r="K16" s="10">
        <f t="shared" si="9"/>
        <v>207</v>
      </c>
      <c r="L16" s="10">
        <f t="shared" si="9"/>
        <v>12</v>
      </c>
      <c r="M16" s="10">
        <f t="shared" si="9"/>
        <v>0</v>
      </c>
      <c r="N16" s="10">
        <f t="shared" si="2"/>
        <v>3855</v>
      </c>
      <c r="O16" s="10">
        <v>0</v>
      </c>
      <c r="P16" s="188"/>
      <c r="Q16" s="181"/>
      <c r="R16" s="22"/>
      <c r="S16" s="143"/>
      <c r="T16" s="143"/>
      <c r="V16" s="12"/>
      <c r="W16" s="12"/>
    </row>
    <row r="17" spans="1:23" ht="13" x14ac:dyDescent="0.25">
      <c r="A17" t="s">
        <v>20</v>
      </c>
      <c r="B17" s="10">
        <f t="shared" ref="B17:M17" si="10">B39+B58</f>
        <v>6024</v>
      </c>
      <c r="C17" s="10">
        <f t="shared" si="10"/>
        <v>3107</v>
      </c>
      <c r="D17" s="10">
        <f t="shared" si="10"/>
        <v>217</v>
      </c>
      <c r="E17" s="10">
        <f t="shared" si="10"/>
        <v>0</v>
      </c>
      <c r="F17" s="10">
        <f t="shared" si="10"/>
        <v>33</v>
      </c>
      <c r="G17" s="10">
        <f t="shared" si="10"/>
        <v>2</v>
      </c>
      <c r="H17" s="10">
        <f t="shared" si="10"/>
        <v>15</v>
      </c>
      <c r="I17" s="10">
        <f t="shared" si="10"/>
        <v>2</v>
      </c>
      <c r="J17" s="10">
        <f t="shared" si="10"/>
        <v>3</v>
      </c>
      <c r="K17" s="10">
        <f t="shared" si="10"/>
        <v>199</v>
      </c>
      <c r="L17" s="10">
        <f t="shared" si="10"/>
        <v>10</v>
      </c>
      <c r="M17" s="10">
        <f t="shared" si="10"/>
        <v>0</v>
      </c>
      <c r="N17" s="10">
        <f t="shared" si="2"/>
        <v>3588</v>
      </c>
      <c r="O17" s="10">
        <v>0</v>
      </c>
      <c r="P17" s="188"/>
      <c r="Q17" s="181"/>
      <c r="R17" s="22"/>
      <c r="S17" s="143"/>
      <c r="T17" s="143"/>
      <c r="V17" s="12"/>
      <c r="W17" s="12"/>
    </row>
    <row r="18" spans="1:23" ht="13" x14ac:dyDescent="0.25">
      <c r="A18" t="s">
        <v>21</v>
      </c>
      <c r="B18" s="10">
        <f t="shared" ref="B18:M18" si="11">B40+B59</f>
        <v>4954</v>
      </c>
      <c r="C18" s="10">
        <f t="shared" si="11"/>
        <v>2728</v>
      </c>
      <c r="D18" s="10">
        <f t="shared" si="11"/>
        <v>217</v>
      </c>
      <c r="E18" s="10">
        <f t="shared" si="11"/>
        <v>0</v>
      </c>
      <c r="F18" s="10">
        <f t="shared" si="11"/>
        <v>39</v>
      </c>
      <c r="G18" s="10">
        <f t="shared" si="11"/>
        <v>0</v>
      </c>
      <c r="H18" s="10">
        <f t="shared" si="11"/>
        <v>7</v>
      </c>
      <c r="I18" s="10">
        <f t="shared" si="11"/>
        <v>0</v>
      </c>
      <c r="J18" s="10">
        <f t="shared" si="11"/>
        <v>0</v>
      </c>
      <c r="K18" s="10">
        <f t="shared" si="11"/>
        <v>172</v>
      </c>
      <c r="L18" s="10">
        <f t="shared" si="11"/>
        <v>4</v>
      </c>
      <c r="M18" s="10">
        <f t="shared" si="11"/>
        <v>0</v>
      </c>
      <c r="N18" s="10">
        <f t="shared" si="2"/>
        <v>3167</v>
      </c>
      <c r="O18" s="10">
        <v>0</v>
      </c>
      <c r="P18" s="188"/>
      <c r="Q18" s="181"/>
      <c r="R18" s="22"/>
      <c r="S18" s="143"/>
      <c r="T18" s="143"/>
      <c r="V18" s="12"/>
      <c r="W18" s="12"/>
    </row>
    <row r="19" spans="1:23" ht="13" x14ac:dyDescent="0.25">
      <c r="A19" s="39" t="s">
        <v>22</v>
      </c>
      <c r="B19" s="10">
        <f t="shared" ref="B19:M19" si="12">B41+B60</f>
        <v>4454</v>
      </c>
      <c r="C19" s="10">
        <f t="shared" si="12"/>
        <v>2375</v>
      </c>
      <c r="D19" s="10">
        <f t="shared" si="12"/>
        <v>152</v>
      </c>
      <c r="E19" s="10">
        <f t="shared" si="12"/>
        <v>0</v>
      </c>
      <c r="F19" s="10">
        <f t="shared" si="12"/>
        <v>15</v>
      </c>
      <c r="G19" s="10">
        <f t="shared" si="12"/>
        <v>0</v>
      </c>
      <c r="H19" s="10">
        <f t="shared" si="12"/>
        <v>4</v>
      </c>
      <c r="I19" s="10">
        <f t="shared" si="12"/>
        <v>0</v>
      </c>
      <c r="J19" s="10">
        <f t="shared" si="12"/>
        <v>0</v>
      </c>
      <c r="K19" s="10">
        <f t="shared" si="12"/>
        <v>110</v>
      </c>
      <c r="L19" s="10">
        <f t="shared" si="12"/>
        <v>8</v>
      </c>
      <c r="M19" s="10">
        <f t="shared" si="12"/>
        <v>0</v>
      </c>
      <c r="N19" s="10">
        <f t="shared" si="2"/>
        <v>2664</v>
      </c>
      <c r="O19" s="62">
        <v>0</v>
      </c>
      <c r="P19" s="191"/>
      <c r="Q19" s="181"/>
      <c r="R19" s="22"/>
      <c r="S19" s="169"/>
      <c r="T19" s="169"/>
      <c r="V19" s="20"/>
      <c r="W19" s="12"/>
    </row>
    <row r="20" spans="1:23" ht="13" x14ac:dyDescent="0.3">
      <c r="A20" s="89" t="s">
        <v>93</v>
      </c>
      <c r="B20" s="41">
        <f t="shared" ref="B20:K20" si="13">SUM(B8:B19)</f>
        <v>87184</v>
      </c>
      <c r="C20" s="41">
        <f t="shared" si="13"/>
        <v>37870</v>
      </c>
      <c r="D20" s="41">
        <f t="shared" si="13"/>
        <v>2422</v>
      </c>
      <c r="E20" s="41">
        <f t="shared" si="13"/>
        <v>142</v>
      </c>
      <c r="F20" s="41">
        <f t="shared" si="13"/>
        <v>313</v>
      </c>
      <c r="G20" s="130">
        <f t="shared" si="13"/>
        <v>129</v>
      </c>
      <c r="H20" s="130">
        <f t="shared" si="13"/>
        <v>689</v>
      </c>
      <c r="I20" s="130">
        <f t="shared" si="13"/>
        <v>3722</v>
      </c>
      <c r="J20" s="130">
        <f t="shared" si="13"/>
        <v>955</v>
      </c>
      <c r="K20" s="130">
        <f t="shared" si="13"/>
        <v>2245</v>
      </c>
      <c r="L20" s="41">
        <f t="shared" ref="L20:O20" si="14">SUM(L8:L19)</f>
        <v>72</v>
      </c>
      <c r="M20" s="90">
        <f t="shared" si="14"/>
        <v>30</v>
      </c>
      <c r="N20" s="41">
        <f t="shared" si="14"/>
        <v>48559</v>
      </c>
      <c r="O20" s="41">
        <f t="shared" si="14"/>
        <v>1943</v>
      </c>
      <c r="P20" s="201"/>
      <c r="Q20" s="190"/>
      <c r="R20" s="22"/>
      <c r="S20" s="143"/>
      <c r="T20" s="143"/>
      <c r="V20" s="12"/>
      <c r="W20" s="12"/>
    </row>
    <row r="21" spans="1:23" ht="13" x14ac:dyDescent="0.3">
      <c r="A21" s="129" t="s">
        <v>86</v>
      </c>
      <c r="B21" s="9">
        <v>94946</v>
      </c>
      <c r="C21" s="9">
        <v>40815</v>
      </c>
      <c r="D21" s="9">
        <v>2857</v>
      </c>
      <c r="E21" s="9">
        <v>196</v>
      </c>
      <c r="F21" s="9">
        <v>411</v>
      </c>
      <c r="G21" s="9">
        <v>100</v>
      </c>
      <c r="H21" s="9">
        <v>707</v>
      </c>
      <c r="I21" s="9">
        <v>4511</v>
      </c>
      <c r="J21" s="9">
        <v>1128</v>
      </c>
      <c r="K21" s="9"/>
      <c r="L21" s="9">
        <v>93</v>
      </c>
      <c r="M21" s="9">
        <v>0</v>
      </c>
      <c r="N21" s="9">
        <v>52989</v>
      </c>
      <c r="O21" s="9">
        <v>0</v>
      </c>
      <c r="P21" s="47"/>
      <c r="Q21" s="120"/>
    </row>
    <row r="22" spans="1:23" ht="13" x14ac:dyDescent="0.3">
      <c r="A22" s="5" t="s">
        <v>23</v>
      </c>
      <c r="B22" s="9">
        <f t="shared" ref="B22:J22" si="15">B20-B21</f>
        <v>-7762</v>
      </c>
      <c r="C22" s="9">
        <f t="shared" si="15"/>
        <v>-2945</v>
      </c>
      <c r="D22" s="9">
        <f t="shared" si="15"/>
        <v>-435</v>
      </c>
      <c r="E22" s="9">
        <f t="shared" si="15"/>
        <v>-54</v>
      </c>
      <c r="F22" s="9">
        <f t="shared" si="15"/>
        <v>-98</v>
      </c>
      <c r="G22" s="9">
        <f t="shared" si="15"/>
        <v>29</v>
      </c>
      <c r="H22" s="9">
        <f t="shared" si="15"/>
        <v>-18</v>
      </c>
      <c r="I22" s="9">
        <f t="shared" si="15"/>
        <v>-789</v>
      </c>
      <c r="J22" s="9">
        <f t="shared" si="15"/>
        <v>-173</v>
      </c>
      <c r="K22" s="9"/>
      <c r="L22" s="9">
        <f t="shared" ref="L22:O22" si="16">L20-L21</f>
        <v>-21</v>
      </c>
      <c r="M22" s="30">
        <f t="shared" si="16"/>
        <v>30</v>
      </c>
      <c r="N22" s="9">
        <f t="shared" si="16"/>
        <v>-4430</v>
      </c>
      <c r="O22" s="9">
        <f t="shared" si="16"/>
        <v>1943</v>
      </c>
      <c r="P22" s="48"/>
      <c r="Q22" s="48"/>
    </row>
    <row r="29" spans="1:23" ht="13" x14ac:dyDescent="0.3">
      <c r="A29" s="1" t="s">
        <v>0</v>
      </c>
      <c r="B29" s="2" t="s">
        <v>1</v>
      </c>
      <c r="C29" s="2" t="s">
        <v>2</v>
      </c>
      <c r="D29" s="2" t="s">
        <v>3</v>
      </c>
      <c r="E29" s="2" t="s">
        <v>4</v>
      </c>
      <c r="F29" s="2" t="s">
        <v>5</v>
      </c>
      <c r="G29" s="67" t="s">
        <v>49</v>
      </c>
      <c r="H29" s="67" t="s">
        <v>46</v>
      </c>
      <c r="I29" s="67" t="s">
        <v>48</v>
      </c>
      <c r="J29" s="67" t="s">
        <v>47</v>
      </c>
      <c r="K29" s="67" t="s">
        <v>52</v>
      </c>
      <c r="L29" s="2" t="s">
        <v>6</v>
      </c>
      <c r="M29" s="33" t="s">
        <v>44</v>
      </c>
      <c r="N29" s="1" t="s">
        <v>8</v>
      </c>
      <c r="O29" s="73" t="s">
        <v>10</v>
      </c>
    </row>
    <row r="30" spans="1:23" ht="13" x14ac:dyDescent="0.3">
      <c r="A30" t="s">
        <v>11</v>
      </c>
      <c r="B30" s="10">
        <v>926</v>
      </c>
      <c r="C30" s="10">
        <v>507</v>
      </c>
      <c r="D30" s="10">
        <v>34</v>
      </c>
      <c r="E30" s="10">
        <v>0</v>
      </c>
      <c r="F30" s="10">
        <v>5</v>
      </c>
      <c r="G30" s="10">
        <v>0</v>
      </c>
      <c r="H30" s="10">
        <v>0</v>
      </c>
      <c r="I30" s="10">
        <v>1</v>
      </c>
      <c r="J30" s="10">
        <v>1</v>
      </c>
      <c r="K30" s="10">
        <v>21</v>
      </c>
      <c r="L30" s="10">
        <v>1</v>
      </c>
      <c r="M30" s="31">
        <v>0</v>
      </c>
      <c r="N30" s="10">
        <f>SUM(C30:L30)</f>
        <v>570</v>
      </c>
      <c r="O30" s="80">
        <v>332</v>
      </c>
    </row>
    <row r="31" spans="1:23" ht="13" x14ac:dyDescent="0.3">
      <c r="A31" t="s">
        <v>12</v>
      </c>
      <c r="B31" s="10">
        <v>744</v>
      </c>
      <c r="C31" s="10">
        <v>433</v>
      </c>
      <c r="D31" s="10">
        <v>16</v>
      </c>
      <c r="E31" s="10">
        <v>0</v>
      </c>
      <c r="F31" s="10">
        <v>2</v>
      </c>
      <c r="G31" s="10">
        <v>0</v>
      </c>
      <c r="H31" s="10">
        <v>1</v>
      </c>
      <c r="I31" s="10">
        <v>0</v>
      </c>
      <c r="J31" s="10">
        <v>0</v>
      </c>
      <c r="K31" s="10">
        <v>21</v>
      </c>
      <c r="L31" s="10">
        <v>0</v>
      </c>
      <c r="M31" s="31">
        <v>0</v>
      </c>
      <c r="N31" s="10">
        <f t="shared" ref="N31:N41" si="17">SUM(C31:L31)</f>
        <v>473</v>
      </c>
      <c r="O31" s="80">
        <v>214</v>
      </c>
    </row>
    <row r="32" spans="1:23" ht="13" x14ac:dyDescent="0.3">
      <c r="A32" t="s">
        <v>13</v>
      </c>
      <c r="B32" s="10">
        <v>1227</v>
      </c>
      <c r="C32" s="10">
        <v>680</v>
      </c>
      <c r="D32" s="10">
        <v>46</v>
      </c>
      <c r="E32" s="10">
        <v>0</v>
      </c>
      <c r="F32" s="10">
        <v>3</v>
      </c>
      <c r="G32" s="10">
        <v>0</v>
      </c>
      <c r="H32" s="10">
        <v>1</v>
      </c>
      <c r="I32" s="10">
        <v>0</v>
      </c>
      <c r="J32" s="10">
        <v>0</v>
      </c>
      <c r="K32" s="10">
        <v>30</v>
      </c>
      <c r="L32" s="10">
        <v>2</v>
      </c>
      <c r="M32" s="31">
        <v>0</v>
      </c>
      <c r="N32" s="10">
        <f>SUM(C32:L32)</f>
        <v>762</v>
      </c>
      <c r="O32" s="80">
        <v>631</v>
      </c>
    </row>
    <row r="33" spans="1:23" ht="13" x14ac:dyDescent="0.3">
      <c r="A33" t="s">
        <v>14</v>
      </c>
      <c r="B33" s="71">
        <v>1455</v>
      </c>
      <c r="C33" s="71">
        <v>823</v>
      </c>
      <c r="D33" s="71">
        <v>44</v>
      </c>
      <c r="E33" s="71">
        <v>0</v>
      </c>
      <c r="F33" s="71">
        <v>8</v>
      </c>
      <c r="G33" s="85">
        <v>0</v>
      </c>
      <c r="H33" s="85">
        <v>3</v>
      </c>
      <c r="I33" s="85">
        <v>4</v>
      </c>
      <c r="J33" s="85">
        <v>4</v>
      </c>
      <c r="K33" s="85">
        <v>82</v>
      </c>
      <c r="L33" s="71">
        <v>0</v>
      </c>
      <c r="M33" s="31">
        <v>0</v>
      </c>
      <c r="N33" s="10">
        <f t="shared" si="17"/>
        <v>968</v>
      </c>
      <c r="O33" s="80">
        <v>373</v>
      </c>
    </row>
    <row r="34" spans="1:23" ht="13" x14ac:dyDescent="0.3">
      <c r="A34" t="s">
        <v>15</v>
      </c>
      <c r="B34" s="10">
        <v>2444</v>
      </c>
      <c r="C34" s="10">
        <v>1180</v>
      </c>
      <c r="D34" s="10">
        <v>71</v>
      </c>
      <c r="E34" s="10">
        <v>3</v>
      </c>
      <c r="F34" s="10">
        <v>6</v>
      </c>
      <c r="G34" s="69">
        <v>6</v>
      </c>
      <c r="H34" s="69">
        <v>11</v>
      </c>
      <c r="I34" s="69">
        <v>43</v>
      </c>
      <c r="J34" s="69">
        <v>26</v>
      </c>
      <c r="K34" s="69">
        <v>93</v>
      </c>
      <c r="L34" s="10">
        <v>2</v>
      </c>
      <c r="M34" s="31">
        <v>4</v>
      </c>
      <c r="N34" s="10">
        <f t="shared" si="17"/>
        <v>1441</v>
      </c>
      <c r="O34" s="80">
        <v>1262.5</v>
      </c>
    </row>
    <row r="35" spans="1:23" ht="13" x14ac:dyDescent="0.3">
      <c r="A35" t="s">
        <v>16</v>
      </c>
      <c r="B35" s="10">
        <v>2464</v>
      </c>
      <c r="C35" s="10">
        <v>1213</v>
      </c>
      <c r="D35" s="10">
        <v>69</v>
      </c>
      <c r="E35" s="10">
        <v>5</v>
      </c>
      <c r="F35" s="10">
        <v>6</v>
      </c>
      <c r="G35" s="69">
        <v>5</v>
      </c>
      <c r="H35" s="69">
        <v>43</v>
      </c>
      <c r="I35" s="69">
        <v>163</v>
      </c>
      <c r="J35" s="69">
        <v>27</v>
      </c>
      <c r="K35" s="69">
        <v>106</v>
      </c>
      <c r="L35" s="10">
        <v>0</v>
      </c>
      <c r="M35" s="31">
        <v>2</v>
      </c>
      <c r="N35" s="10">
        <f t="shared" si="17"/>
        <v>1637</v>
      </c>
      <c r="O35" s="80">
        <v>1373</v>
      </c>
    </row>
    <row r="36" spans="1:23" ht="13" x14ac:dyDescent="0.3">
      <c r="A36" t="s">
        <v>17</v>
      </c>
      <c r="B36" s="10">
        <v>4549</v>
      </c>
      <c r="C36" s="10">
        <v>1729</v>
      </c>
      <c r="D36" s="10">
        <v>68</v>
      </c>
      <c r="E36" s="10">
        <v>9</v>
      </c>
      <c r="F36" s="10">
        <v>12</v>
      </c>
      <c r="G36" s="69">
        <v>21</v>
      </c>
      <c r="H36" s="69">
        <v>97</v>
      </c>
      <c r="I36" s="69">
        <v>588</v>
      </c>
      <c r="J36" s="69">
        <v>124</v>
      </c>
      <c r="K36" s="69">
        <v>79</v>
      </c>
      <c r="L36" s="10">
        <v>0</v>
      </c>
      <c r="M36" s="31">
        <v>6</v>
      </c>
      <c r="N36" s="10">
        <f t="shared" si="17"/>
        <v>2727</v>
      </c>
      <c r="O36" s="80">
        <v>1390</v>
      </c>
    </row>
    <row r="37" spans="1:23" ht="13" x14ac:dyDescent="0.3">
      <c r="A37" t="s">
        <v>18</v>
      </c>
      <c r="B37" s="10">
        <v>3491</v>
      </c>
      <c r="C37" s="10">
        <v>1214</v>
      </c>
      <c r="D37" s="10">
        <v>94</v>
      </c>
      <c r="E37" s="10">
        <v>9</v>
      </c>
      <c r="F37" s="10">
        <v>4</v>
      </c>
      <c r="G37" s="69">
        <v>5</v>
      </c>
      <c r="H37" s="69">
        <v>38</v>
      </c>
      <c r="I37" s="69">
        <v>225</v>
      </c>
      <c r="J37" s="69">
        <v>99</v>
      </c>
      <c r="K37" s="69">
        <v>72</v>
      </c>
      <c r="L37" s="10">
        <v>6</v>
      </c>
      <c r="M37" s="31">
        <v>0</v>
      </c>
      <c r="N37" s="10">
        <f t="shared" si="17"/>
        <v>1766</v>
      </c>
      <c r="O37" s="80">
        <v>1025</v>
      </c>
    </row>
    <row r="38" spans="1:23" ht="13" x14ac:dyDescent="0.3">
      <c r="A38" t="s">
        <v>19</v>
      </c>
      <c r="B38" s="10">
        <v>2150</v>
      </c>
      <c r="C38" s="10">
        <v>1023</v>
      </c>
      <c r="D38" s="10">
        <v>51</v>
      </c>
      <c r="E38" s="10">
        <v>1</v>
      </c>
      <c r="F38" s="10">
        <v>6</v>
      </c>
      <c r="G38" s="10">
        <v>2</v>
      </c>
      <c r="H38" s="10">
        <v>6</v>
      </c>
      <c r="I38" s="10">
        <v>12</v>
      </c>
      <c r="J38" s="10">
        <v>11</v>
      </c>
      <c r="K38" s="10">
        <v>69</v>
      </c>
      <c r="L38" s="10">
        <v>0</v>
      </c>
      <c r="M38" s="31">
        <v>0</v>
      </c>
      <c r="N38" s="10">
        <f>SUM(C38:L38)</f>
        <v>1181</v>
      </c>
      <c r="O38" s="80">
        <v>708</v>
      </c>
    </row>
    <row r="39" spans="1:23" ht="13" x14ac:dyDescent="0.3">
      <c r="A39" t="s">
        <v>20</v>
      </c>
      <c r="B39" s="10">
        <v>1464</v>
      </c>
      <c r="C39" s="10">
        <v>809</v>
      </c>
      <c r="D39" s="10">
        <v>51</v>
      </c>
      <c r="E39" s="10">
        <v>0</v>
      </c>
      <c r="F39" s="10">
        <v>10</v>
      </c>
      <c r="G39" s="10">
        <v>0</v>
      </c>
      <c r="H39" s="10">
        <v>4</v>
      </c>
      <c r="I39" s="10">
        <v>2</v>
      </c>
      <c r="J39" s="10">
        <v>0</v>
      </c>
      <c r="K39" s="10">
        <v>59</v>
      </c>
      <c r="L39" s="10">
        <v>0</v>
      </c>
      <c r="M39" s="31">
        <v>0</v>
      </c>
      <c r="N39" s="10">
        <f t="shared" si="17"/>
        <v>935</v>
      </c>
      <c r="O39" s="80">
        <v>563</v>
      </c>
    </row>
    <row r="40" spans="1:23" ht="13" x14ac:dyDescent="0.3">
      <c r="A40" t="s">
        <v>21</v>
      </c>
      <c r="B40" s="10">
        <v>1107</v>
      </c>
      <c r="C40" s="10">
        <v>669</v>
      </c>
      <c r="D40" s="10">
        <v>51</v>
      </c>
      <c r="E40" s="10">
        <v>0</v>
      </c>
      <c r="F40" s="10">
        <v>10</v>
      </c>
      <c r="G40" s="10">
        <v>0</v>
      </c>
      <c r="H40" s="10">
        <v>1</v>
      </c>
      <c r="I40" s="10">
        <v>0</v>
      </c>
      <c r="J40" s="10">
        <v>0</v>
      </c>
      <c r="K40" s="10">
        <v>39</v>
      </c>
      <c r="L40" s="10">
        <v>1</v>
      </c>
      <c r="M40" s="31">
        <v>0</v>
      </c>
      <c r="N40" s="10">
        <f t="shared" si="17"/>
        <v>771</v>
      </c>
      <c r="O40" s="80">
        <v>657</v>
      </c>
    </row>
    <row r="41" spans="1:23" ht="13" x14ac:dyDescent="0.3">
      <c r="A41" s="4" t="s">
        <v>22</v>
      </c>
      <c r="B41" s="11">
        <v>1111</v>
      </c>
      <c r="C41" s="11">
        <v>640</v>
      </c>
      <c r="D41" s="11">
        <v>33</v>
      </c>
      <c r="E41" s="11">
        <v>0</v>
      </c>
      <c r="F41" s="11">
        <v>3</v>
      </c>
      <c r="G41" s="15">
        <v>0</v>
      </c>
      <c r="H41" s="15">
        <v>0</v>
      </c>
      <c r="I41" s="15">
        <v>0</v>
      </c>
      <c r="J41" s="15">
        <v>0</v>
      </c>
      <c r="K41" s="15">
        <v>25</v>
      </c>
      <c r="L41" s="11">
        <v>1</v>
      </c>
      <c r="M41" s="30">
        <v>0</v>
      </c>
      <c r="N41" s="11">
        <f t="shared" si="17"/>
        <v>702</v>
      </c>
      <c r="O41" s="81">
        <v>450</v>
      </c>
    </row>
    <row r="48" spans="1:23" ht="13" x14ac:dyDescent="0.3">
      <c r="A48" s="1" t="s">
        <v>0</v>
      </c>
      <c r="B48" s="2" t="s">
        <v>1</v>
      </c>
      <c r="C48" s="2" t="s">
        <v>2</v>
      </c>
      <c r="D48" s="2" t="s">
        <v>3</v>
      </c>
      <c r="E48" s="2" t="s">
        <v>4</v>
      </c>
      <c r="F48" s="2" t="s">
        <v>5</v>
      </c>
      <c r="G48" s="67" t="s">
        <v>49</v>
      </c>
      <c r="H48" s="67" t="s">
        <v>46</v>
      </c>
      <c r="I48" s="67" t="s">
        <v>48</v>
      </c>
      <c r="J48" s="67" t="s">
        <v>47</v>
      </c>
      <c r="K48" s="67" t="s">
        <v>52</v>
      </c>
      <c r="L48" s="2" t="s">
        <v>6</v>
      </c>
      <c r="M48" s="33" t="s">
        <v>44</v>
      </c>
      <c r="N48" s="1" t="s">
        <v>8</v>
      </c>
      <c r="O48" s="73" t="s">
        <v>10</v>
      </c>
      <c r="P48" s="2" t="s">
        <v>1</v>
      </c>
      <c r="Q48" s="2" t="s">
        <v>9</v>
      </c>
      <c r="S48" s="3" t="s">
        <v>103</v>
      </c>
      <c r="T48" s="3" t="s">
        <v>104</v>
      </c>
      <c r="V48" s="3" t="s">
        <v>94</v>
      </c>
      <c r="W48" s="3" t="s">
        <v>95</v>
      </c>
    </row>
    <row r="49" spans="1:23" ht="13" x14ac:dyDescent="0.3">
      <c r="A49" t="s">
        <v>11</v>
      </c>
      <c r="B49" s="10">
        <v>3127</v>
      </c>
      <c r="C49" s="10">
        <v>1724</v>
      </c>
      <c r="D49" s="10">
        <v>110</v>
      </c>
      <c r="E49" s="10">
        <v>0</v>
      </c>
      <c r="F49" s="10">
        <v>35</v>
      </c>
      <c r="G49" s="10">
        <v>1</v>
      </c>
      <c r="H49" s="10">
        <v>1</v>
      </c>
      <c r="I49" s="10">
        <v>0</v>
      </c>
      <c r="J49" s="10">
        <v>1</v>
      </c>
      <c r="K49" s="10">
        <v>83</v>
      </c>
      <c r="L49" s="10">
        <v>0</v>
      </c>
      <c r="M49" s="31">
        <v>0</v>
      </c>
      <c r="N49" s="10">
        <f>SUM(C49:L49)</f>
        <v>1955</v>
      </c>
      <c r="O49" s="80">
        <v>1611</v>
      </c>
      <c r="P49" s="188">
        <f>S49/V49</f>
        <v>-6.3903281519861826E-2</v>
      </c>
      <c r="Q49" s="179">
        <f>T49/W49</f>
        <v>-3.3663366336633666E-2</v>
      </c>
      <c r="R49" s="22"/>
      <c r="S49" s="143">
        <f t="shared" ref="S49:S60" si="18">B73-V49</f>
        <v>-259</v>
      </c>
      <c r="T49" s="143">
        <f t="shared" ref="T49:T60" si="19">N73-W49</f>
        <v>-85</v>
      </c>
      <c r="V49" s="12">
        <f t="shared" ref="V49:V60" si="20">B8</f>
        <v>4053</v>
      </c>
      <c r="W49" s="12">
        <f t="shared" ref="W49:W60" si="21">N8</f>
        <v>2525</v>
      </c>
    </row>
    <row r="50" spans="1:23" ht="13" x14ac:dyDescent="0.3">
      <c r="A50" t="s">
        <v>12</v>
      </c>
      <c r="B50" s="10">
        <v>3016</v>
      </c>
      <c r="C50" s="10">
        <v>1664</v>
      </c>
      <c r="D50" s="10">
        <v>108</v>
      </c>
      <c r="E50" s="10">
        <v>0</v>
      </c>
      <c r="F50" s="10">
        <v>10</v>
      </c>
      <c r="G50" s="10">
        <v>1</v>
      </c>
      <c r="H50" s="10">
        <v>4</v>
      </c>
      <c r="I50" s="10">
        <v>0</v>
      </c>
      <c r="J50" s="10">
        <v>0</v>
      </c>
      <c r="K50" s="10">
        <v>83</v>
      </c>
      <c r="L50" s="10">
        <v>1</v>
      </c>
      <c r="M50" s="31">
        <v>0</v>
      </c>
      <c r="N50" s="10">
        <f t="shared" ref="N50:N60" si="22">SUM(C50:L50)</f>
        <v>1871</v>
      </c>
      <c r="O50" s="80">
        <v>1478</v>
      </c>
      <c r="P50" s="188">
        <f t="shared" ref="P50:P52" si="23">S50/V50</f>
        <v>-3.8297872340425532E-2</v>
      </c>
      <c r="Q50" s="181">
        <f t="shared" ref="Q50:Q60" si="24">T50/W50</f>
        <v>-7.6791808873720134E-3</v>
      </c>
      <c r="R50" s="22"/>
      <c r="S50" s="143">
        <f t="shared" si="18"/>
        <v>-144</v>
      </c>
      <c r="T50" s="143">
        <f t="shared" si="19"/>
        <v>-18</v>
      </c>
      <c r="V50" s="12">
        <f t="shared" si="20"/>
        <v>3760</v>
      </c>
      <c r="W50" s="12">
        <f t="shared" si="21"/>
        <v>2344</v>
      </c>
    </row>
    <row r="51" spans="1:23" ht="13" x14ac:dyDescent="0.3">
      <c r="A51" t="s">
        <v>13</v>
      </c>
      <c r="B51" s="10">
        <v>3804</v>
      </c>
      <c r="C51" s="10">
        <v>2024</v>
      </c>
      <c r="D51" s="10">
        <v>142</v>
      </c>
      <c r="E51" s="10">
        <v>1</v>
      </c>
      <c r="F51" s="10">
        <v>24</v>
      </c>
      <c r="G51" s="10">
        <v>0</v>
      </c>
      <c r="H51" s="10">
        <v>7</v>
      </c>
      <c r="I51" s="10">
        <v>0</v>
      </c>
      <c r="J51" s="10">
        <v>2</v>
      </c>
      <c r="K51" s="10">
        <v>101</v>
      </c>
      <c r="L51" s="10">
        <v>5</v>
      </c>
      <c r="M51" s="31">
        <v>2</v>
      </c>
      <c r="N51" s="10">
        <f>SUM(C51:L51)</f>
        <v>2306</v>
      </c>
      <c r="O51" s="80">
        <v>2118</v>
      </c>
      <c r="P51" s="188">
        <f t="shared" si="23"/>
        <v>-0.12999403697078116</v>
      </c>
      <c r="Q51" s="181">
        <f t="shared" si="24"/>
        <v>-0.11571056062581486</v>
      </c>
      <c r="R51" s="22"/>
      <c r="S51" s="143">
        <f t="shared" si="18"/>
        <v>-654</v>
      </c>
      <c r="T51" s="143">
        <f t="shared" si="19"/>
        <v>-355</v>
      </c>
      <c r="V51" s="12">
        <f t="shared" si="20"/>
        <v>5031</v>
      </c>
      <c r="W51" s="12">
        <f t="shared" si="21"/>
        <v>3068</v>
      </c>
    </row>
    <row r="52" spans="1:23" ht="13" x14ac:dyDescent="0.3">
      <c r="A52" t="s">
        <v>14</v>
      </c>
      <c r="B52" s="71">
        <v>4730</v>
      </c>
      <c r="C52" s="71">
        <v>2271</v>
      </c>
      <c r="D52" s="71">
        <v>129</v>
      </c>
      <c r="E52" s="71">
        <v>0</v>
      </c>
      <c r="F52" s="71">
        <v>14</v>
      </c>
      <c r="G52" s="85">
        <v>2</v>
      </c>
      <c r="H52" s="85">
        <v>8</v>
      </c>
      <c r="I52" s="85">
        <v>0</v>
      </c>
      <c r="J52" s="85">
        <v>1</v>
      </c>
      <c r="K52" s="85">
        <v>178</v>
      </c>
      <c r="L52" s="71">
        <v>1</v>
      </c>
      <c r="M52" s="31">
        <v>2</v>
      </c>
      <c r="N52" s="10">
        <f>SUM(C52:L52)</f>
        <v>2604</v>
      </c>
      <c r="O52" s="80">
        <v>1800</v>
      </c>
      <c r="P52" s="188">
        <f t="shared" si="23"/>
        <v>-0.18803556992724332</v>
      </c>
      <c r="Q52" s="181">
        <f t="shared" si="24"/>
        <v>-0.14361702127659576</v>
      </c>
      <c r="R52" s="22"/>
      <c r="S52" s="143">
        <f t="shared" si="18"/>
        <v>-1163</v>
      </c>
      <c r="T52" s="143">
        <f t="shared" si="19"/>
        <v>-513</v>
      </c>
      <c r="U52" s="79"/>
      <c r="V52" s="12">
        <f t="shared" si="20"/>
        <v>6185</v>
      </c>
      <c r="W52" s="12">
        <f t="shared" si="21"/>
        <v>3572</v>
      </c>
    </row>
    <row r="53" spans="1:23" ht="13" x14ac:dyDescent="0.3">
      <c r="A53" t="s">
        <v>15</v>
      </c>
      <c r="B53" s="10">
        <v>5977</v>
      </c>
      <c r="C53" s="10">
        <v>2262</v>
      </c>
      <c r="D53" s="10">
        <v>127</v>
      </c>
      <c r="E53" s="10">
        <v>35</v>
      </c>
      <c r="F53" s="10">
        <v>26</v>
      </c>
      <c r="G53" s="69">
        <v>3</v>
      </c>
      <c r="H53" s="69">
        <v>37</v>
      </c>
      <c r="I53" s="69">
        <v>152</v>
      </c>
      <c r="J53" s="69">
        <v>31</v>
      </c>
      <c r="K53" s="69">
        <v>167</v>
      </c>
      <c r="L53" s="10">
        <v>2</v>
      </c>
      <c r="M53" s="31">
        <v>0</v>
      </c>
      <c r="N53" s="10">
        <f t="shared" si="22"/>
        <v>2842</v>
      </c>
      <c r="O53" s="80">
        <v>2410</v>
      </c>
      <c r="P53" s="188">
        <f>S53/V53</f>
        <v>5.7119106994418717E-2</v>
      </c>
      <c r="Q53" s="181">
        <f t="shared" si="24"/>
        <v>8.8489376605183287E-2</v>
      </c>
      <c r="R53" s="22"/>
      <c r="S53" s="143">
        <f t="shared" si="18"/>
        <v>481</v>
      </c>
      <c r="T53" s="143">
        <f t="shared" si="19"/>
        <v>379</v>
      </c>
      <c r="V53" s="12">
        <f t="shared" si="20"/>
        <v>8421</v>
      </c>
      <c r="W53" s="12">
        <f t="shared" si="21"/>
        <v>4283</v>
      </c>
    </row>
    <row r="54" spans="1:23" ht="13" x14ac:dyDescent="0.3">
      <c r="A54" t="s">
        <v>16</v>
      </c>
      <c r="B54" s="10">
        <v>6763</v>
      </c>
      <c r="C54" s="10">
        <v>2650</v>
      </c>
      <c r="D54" s="10">
        <v>184</v>
      </c>
      <c r="E54" s="10">
        <v>15</v>
      </c>
      <c r="F54" s="10">
        <v>19</v>
      </c>
      <c r="G54" s="69">
        <v>17</v>
      </c>
      <c r="H54" s="69">
        <v>88</v>
      </c>
      <c r="I54" s="69">
        <v>425</v>
      </c>
      <c r="J54" s="69">
        <v>152</v>
      </c>
      <c r="K54" s="69">
        <v>166</v>
      </c>
      <c r="L54" s="10">
        <v>1</v>
      </c>
      <c r="M54" s="31">
        <v>10</v>
      </c>
      <c r="N54" s="10">
        <f t="shared" si="22"/>
        <v>3717</v>
      </c>
      <c r="O54" s="80">
        <v>2668</v>
      </c>
      <c r="P54" s="188">
        <f>S54/V54</f>
        <v>9.1037173512517611E-3</v>
      </c>
      <c r="Q54" s="181">
        <f t="shared" si="24"/>
        <v>-0.13541277549495703</v>
      </c>
      <c r="R54" s="22"/>
      <c r="S54" s="143">
        <f t="shared" si="18"/>
        <v>84</v>
      </c>
      <c r="T54" s="143">
        <f t="shared" si="19"/>
        <v>-725</v>
      </c>
      <c r="V54" s="12">
        <f t="shared" si="20"/>
        <v>9227</v>
      </c>
      <c r="W54" s="12">
        <f t="shared" si="21"/>
        <v>5354</v>
      </c>
    </row>
    <row r="55" spans="1:23" ht="13" x14ac:dyDescent="0.3">
      <c r="A55" t="s">
        <v>17</v>
      </c>
      <c r="B55" s="10">
        <v>10793</v>
      </c>
      <c r="C55" s="10">
        <v>3275</v>
      </c>
      <c r="D55" s="10">
        <v>145</v>
      </c>
      <c r="E55" s="10">
        <v>20</v>
      </c>
      <c r="F55" s="10">
        <v>5</v>
      </c>
      <c r="G55" s="69">
        <v>35</v>
      </c>
      <c r="H55" s="69">
        <v>184</v>
      </c>
      <c r="I55" s="69">
        <v>1330</v>
      </c>
      <c r="J55" s="69">
        <v>261</v>
      </c>
      <c r="K55" s="69">
        <v>131</v>
      </c>
      <c r="L55" s="10">
        <v>14</v>
      </c>
      <c r="M55" s="31">
        <v>4</v>
      </c>
      <c r="N55" s="10">
        <f t="shared" si="22"/>
        <v>5400</v>
      </c>
      <c r="O55" s="80">
        <v>1898</v>
      </c>
      <c r="P55" s="188">
        <f t="shared" ref="P55:P60" si="25">S55/V55</f>
        <v>8.6690131664711248E-3</v>
      </c>
      <c r="Q55" s="181">
        <f t="shared" si="24"/>
        <v>-2.5593700012304665E-2</v>
      </c>
      <c r="R55" s="22"/>
      <c r="S55" s="143">
        <f t="shared" si="18"/>
        <v>133</v>
      </c>
      <c r="T55" s="143">
        <f t="shared" si="19"/>
        <v>-208</v>
      </c>
      <c r="V55" s="12">
        <f t="shared" si="20"/>
        <v>15342</v>
      </c>
      <c r="W55" s="12">
        <f t="shared" si="21"/>
        <v>8127</v>
      </c>
    </row>
    <row r="56" spans="1:23" ht="13" x14ac:dyDescent="0.3">
      <c r="A56" t="s">
        <v>18</v>
      </c>
      <c r="B56" s="10">
        <v>8898</v>
      </c>
      <c r="C56" s="10">
        <v>2809</v>
      </c>
      <c r="D56" s="10">
        <v>213</v>
      </c>
      <c r="E56" s="10">
        <v>39</v>
      </c>
      <c r="F56" s="10">
        <v>22</v>
      </c>
      <c r="G56" s="69">
        <v>12</v>
      </c>
      <c r="H56" s="69">
        <v>102</v>
      </c>
      <c r="I56" s="69">
        <v>706</v>
      </c>
      <c r="J56" s="69">
        <v>196</v>
      </c>
      <c r="K56" s="69">
        <v>144</v>
      </c>
      <c r="L56" s="10">
        <v>3</v>
      </c>
      <c r="M56" s="31">
        <v>0</v>
      </c>
      <c r="N56" s="10">
        <f t="shared" si="22"/>
        <v>4246</v>
      </c>
      <c r="O56" s="80">
        <v>3644</v>
      </c>
      <c r="P56" s="188">
        <f t="shared" si="25"/>
        <v>-2.3811445637258857E-2</v>
      </c>
      <c r="Q56" s="181">
        <f t="shared" si="24"/>
        <v>-1.5968063872255488E-2</v>
      </c>
      <c r="R56" s="22"/>
      <c r="S56" s="143">
        <f t="shared" si="18"/>
        <v>-295</v>
      </c>
      <c r="T56" s="143">
        <f t="shared" si="19"/>
        <v>-96</v>
      </c>
      <c r="V56" s="12">
        <f t="shared" si="20"/>
        <v>12389</v>
      </c>
      <c r="W56" s="12">
        <f t="shared" si="21"/>
        <v>6012</v>
      </c>
    </row>
    <row r="57" spans="1:23" ht="13" x14ac:dyDescent="0.3">
      <c r="A57" t="s">
        <v>19</v>
      </c>
      <c r="B57" s="10">
        <v>5194</v>
      </c>
      <c r="C57" s="10">
        <v>2179</v>
      </c>
      <c r="D57" s="10">
        <v>185</v>
      </c>
      <c r="E57" s="10">
        <v>5</v>
      </c>
      <c r="F57" s="10">
        <v>19</v>
      </c>
      <c r="G57" s="10">
        <v>17</v>
      </c>
      <c r="H57" s="10">
        <v>32</v>
      </c>
      <c r="I57" s="10">
        <v>71</v>
      </c>
      <c r="J57" s="10">
        <v>16</v>
      </c>
      <c r="K57" s="10">
        <v>138</v>
      </c>
      <c r="L57" s="10">
        <v>12</v>
      </c>
      <c r="M57" s="31">
        <v>0</v>
      </c>
      <c r="N57" s="10">
        <f t="shared" si="22"/>
        <v>2674</v>
      </c>
      <c r="O57" s="80">
        <v>3144</v>
      </c>
      <c r="P57" s="188">
        <f t="shared" si="25"/>
        <v>-6.9172113289760348E-2</v>
      </c>
      <c r="Q57" s="181">
        <f t="shared" si="24"/>
        <v>-3.9948119325551229E-2</v>
      </c>
      <c r="R57" s="22"/>
      <c r="S57" s="143">
        <f t="shared" si="18"/>
        <v>-508</v>
      </c>
      <c r="T57" s="143">
        <f t="shared" si="19"/>
        <v>-154</v>
      </c>
      <c r="V57" s="12">
        <f t="shared" si="20"/>
        <v>7344</v>
      </c>
      <c r="W57" s="12">
        <f t="shared" si="21"/>
        <v>3855</v>
      </c>
    </row>
    <row r="58" spans="1:23" ht="13" x14ac:dyDescent="0.3">
      <c r="A58" t="s">
        <v>20</v>
      </c>
      <c r="B58" s="10">
        <v>4560</v>
      </c>
      <c r="C58" s="10">
        <v>2298</v>
      </c>
      <c r="D58" s="10">
        <v>166</v>
      </c>
      <c r="E58" s="10">
        <v>0</v>
      </c>
      <c r="F58" s="10">
        <v>23</v>
      </c>
      <c r="G58" s="10">
        <v>2</v>
      </c>
      <c r="H58" s="10">
        <v>11</v>
      </c>
      <c r="I58" s="10">
        <v>0</v>
      </c>
      <c r="J58" s="10">
        <v>3</v>
      </c>
      <c r="K58" s="10">
        <v>140</v>
      </c>
      <c r="L58" s="10">
        <v>10</v>
      </c>
      <c r="M58" s="31">
        <v>0</v>
      </c>
      <c r="N58" s="10">
        <f t="shared" si="22"/>
        <v>2653</v>
      </c>
      <c r="O58" s="80">
        <v>2024</v>
      </c>
      <c r="P58" s="188">
        <f t="shared" si="25"/>
        <v>0.1052456839309429</v>
      </c>
      <c r="Q58" s="181">
        <f t="shared" si="24"/>
        <v>9.3924191750278704E-2</v>
      </c>
      <c r="R58" s="22"/>
      <c r="S58" s="143">
        <f t="shared" si="18"/>
        <v>634</v>
      </c>
      <c r="T58" s="143">
        <f t="shared" si="19"/>
        <v>337</v>
      </c>
      <c r="V58" s="12">
        <f t="shared" si="20"/>
        <v>6024</v>
      </c>
      <c r="W58" s="12">
        <f t="shared" si="21"/>
        <v>3588</v>
      </c>
    </row>
    <row r="59" spans="1:23" ht="13" x14ac:dyDescent="0.3">
      <c r="A59" t="s">
        <v>21</v>
      </c>
      <c r="B59" s="10">
        <v>3847</v>
      </c>
      <c r="C59" s="10">
        <v>2059</v>
      </c>
      <c r="D59" s="10">
        <v>166</v>
      </c>
      <c r="E59" s="10">
        <v>0</v>
      </c>
      <c r="F59" s="10">
        <v>29</v>
      </c>
      <c r="G59" s="10">
        <v>0</v>
      </c>
      <c r="H59" s="10">
        <v>6</v>
      </c>
      <c r="I59" s="10">
        <v>0</v>
      </c>
      <c r="J59" s="10">
        <v>0</v>
      </c>
      <c r="K59" s="10">
        <v>133</v>
      </c>
      <c r="L59" s="10">
        <v>3</v>
      </c>
      <c r="M59" s="31">
        <v>0</v>
      </c>
      <c r="N59" s="10">
        <f t="shared" si="22"/>
        <v>2396</v>
      </c>
      <c r="O59" s="80">
        <v>2469</v>
      </c>
      <c r="P59" s="188">
        <f t="shared" si="25"/>
        <v>3.4719418651594669E-2</v>
      </c>
      <c r="Q59" s="181">
        <f t="shared" si="24"/>
        <v>9.4726870855699403E-4</v>
      </c>
      <c r="R59" s="22"/>
      <c r="S59" s="143">
        <f t="shared" si="18"/>
        <v>172</v>
      </c>
      <c r="T59" s="143">
        <f t="shared" si="19"/>
        <v>3</v>
      </c>
      <c r="V59" s="12">
        <f t="shared" si="20"/>
        <v>4954</v>
      </c>
      <c r="W59" s="12">
        <f t="shared" si="21"/>
        <v>3167</v>
      </c>
    </row>
    <row r="60" spans="1:23" ht="13" x14ac:dyDescent="0.3">
      <c r="A60" s="4" t="s">
        <v>22</v>
      </c>
      <c r="B60" s="11">
        <v>3343</v>
      </c>
      <c r="C60" s="11">
        <v>1735</v>
      </c>
      <c r="D60" s="11">
        <v>119</v>
      </c>
      <c r="E60" s="11">
        <v>0</v>
      </c>
      <c r="F60" s="11">
        <v>12</v>
      </c>
      <c r="G60" s="15">
        <v>0</v>
      </c>
      <c r="H60" s="15">
        <v>4</v>
      </c>
      <c r="I60" s="15">
        <v>0</v>
      </c>
      <c r="J60" s="15">
        <v>0</v>
      </c>
      <c r="K60" s="15">
        <v>85</v>
      </c>
      <c r="L60" s="11">
        <v>7</v>
      </c>
      <c r="M60" s="30">
        <v>0</v>
      </c>
      <c r="N60" s="11">
        <f t="shared" si="22"/>
        <v>1962</v>
      </c>
      <c r="O60" s="81">
        <v>1557</v>
      </c>
      <c r="P60" s="191">
        <f t="shared" si="25"/>
        <v>-1.0103277952402335E-2</v>
      </c>
      <c r="Q60" s="181">
        <f t="shared" si="24"/>
        <v>1.8393393393393392E-2</v>
      </c>
      <c r="R60" s="22"/>
      <c r="S60" s="169">
        <f t="shared" si="18"/>
        <v>-45</v>
      </c>
      <c r="T60" s="169">
        <f t="shared" si="19"/>
        <v>49</v>
      </c>
      <c r="V60" s="20">
        <f t="shared" si="20"/>
        <v>4454</v>
      </c>
      <c r="W60" s="20">
        <f t="shared" si="21"/>
        <v>2664</v>
      </c>
    </row>
    <row r="61" spans="1:23" ht="12.75" customHeight="1" x14ac:dyDescent="0.3">
      <c r="P61" s="201">
        <f>S61/V61</f>
        <v>-1.7939071389245734E-2</v>
      </c>
      <c r="Q61" s="190">
        <f>T61/W61</f>
        <v>-2.8542597664696554E-2</v>
      </c>
      <c r="R61" s="22"/>
      <c r="S61" s="143">
        <f>SUM(S49:S60)</f>
        <v>-1564</v>
      </c>
      <c r="T61" s="143">
        <f>SUM(T49:T60)</f>
        <v>-1386</v>
      </c>
      <c r="V61" s="12">
        <f>SUM(V49:V60)</f>
        <v>87184</v>
      </c>
      <c r="W61" s="12">
        <f>SUM(W49:W60)</f>
        <v>48559</v>
      </c>
    </row>
    <row r="62" spans="1:23" ht="12.75" customHeight="1" x14ac:dyDescent="0.3">
      <c r="P62" s="47">
        <v>-8.1751732563773091E-2</v>
      </c>
      <c r="Q62" s="120">
        <v>-8.3602257072222533E-2</v>
      </c>
    </row>
    <row r="63" spans="1:23" ht="12.75" customHeight="1" x14ac:dyDescent="0.3">
      <c r="P63" s="48"/>
      <c r="Q63" s="48"/>
    </row>
    <row r="68" spans="1:17" ht="12.75" customHeight="1" x14ac:dyDescent="0.25">
      <c r="P68" s="22"/>
    </row>
    <row r="72" spans="1:17" ht="13" x14ac:dyDescent="0.3">
      <c r="A72" s="1" t="s">
        <v>0</v>
      </c>
      <c r="B72" s="2" t="s">
        <v>1</v>
      </c>
      <c r="C72" s="2" t="s">
        <v>2</v>
      </c>
      <c r="D72" s="2" t="s">
        <v>3</v>
      </c>
      <c r="E72" s="2" t="s">
        <v>4</v>
      </c>
      <c r="F72" s="2" t="s">
        <v>5</v>
      </c>
      <c r="G72" s="67" t="s">
        <v>49</v>
      </c>
      <c r="H72" s="67" t="s">
        <v>46</v>
      </c>
      <c r="I72" s="67" t="s">
        <v>48</v>
      </c>
      <c r="J72" s="67" t="s">
        <v>47</v>
      </c>
      <c r="K72" s="67" t="s">
        <v>52</v>
      </c>
      <c r="L72" s="2" t="s">
        <v>6</v>
      </c>
      <c r="M72" s="33" t="s">
        <v>44</v>
      </c>
      <c r="N72" s="1" t="s">
        <v>8</v>
      </c>
      <c r="O72" s="2" t="s">
        <v>10</v>
      </c>
    </row>
    <row r="73" spans="1:17" ht="12.5" x14ac:dyDescent="0.25">
      <c r="A73" t="s">
        <v>11</v>
      </c>
      <c r="B73" s="10">
        <f>B95+B114</f>
        <v>3794</v>
      </c>
      <c r="C73" s="10">
        <f t="shared" ref="C73:M73" si="26">C95+C114</f>
        <v>2161</v>
      </c>
      <c r="D73" s="10">
        <f t="shared" si="26"/>
        <v>139</v>
      </c>
      <c r="E73" s="10">
        <f t="shared" si="26"/>
        <v>1</v>
      </c>
      <c r="F73" s="10">
        <f t="shared" si="26"/>
        <v>23</v>
      </c>
      <c r="G73" s="10">
        <f t="shared" si="26"/>
        <v>0</v>
      </c>
      <c r="H73" s="10">
        <f t="shared" si="26"/>
        <v>6</v>
      </c>
      <c r="I73" s="10">
        <f t="shared" si="26"/>
        <v>0</v>
      </c>
      <c r="J73" s="10">
        <f t="shared" si="26"/>
        <v>0</v>
      </c>
      <c r="K73" s="10">
        <f t="shared" si="26"/>
        <v>107</v>
      </c>
      <c r="L73" s="10">
        <f t="shared" si="26"/>
        <v>3</v>
      </c>
      <c r="M73" s="10">
        <f t="shared" si="26"/>
        <v>0</v>
      </c>
      <c r="N73" s="10">
        <f>SUM(C73:L73)</f>
        <v>2440</v>
      </c>
      <c r="O73" s="10">
        <f>O95+O114</f>
        <v>1701</v>
      </c>
    </row>
    <row r="74" spans="1:17" ht="12.5" x14ac:dyDescent="0.25">
      <c r="A74" t="s">
        <v>12</v>
      </c>
      <c r="B74" s="10">
        <f t="shared" ref="B74:M74" si="27">B96+B115</f>
        <v>3616</v>
      </c>
      <c r="C74" s="10">
        <f t="shared" si="27"/>
        <v>2063</v>
      </c>
      <c r="D74" s="10">
        <f t="shared" si="27"/>
        <v>133</v>
      </c>
      <c r="E74" s="10">
        <f t="shared" si="27"/>
        <v>0</v>
      </c>
      <c r="F74" s="10">
        <f t="shared" si="27"/>
        <v>29</v>
      </c>
      <c r="G74" s="10">
        <f t="shared" si="27"/>
        <v>0</v>
      </c>
      <c r="H74" s="10">
        <f t="shared" si="27"/>
        <v>8</v>
      </c>
      <c r="I74" s="10">
        <f t="shared" si="27"/>
        <v>0</v>
      </c>
      <c r="J74" s="10">
        <f t="shared" si="27"/>
        <v>0</v>
      </c>
      <c r="K74" s="10">
        <f t="shared" si="27"/>
        <v>91</v>
      </c>
      <c r="L74" s="10">
        <f t="shared" si="27"/>
        <v>2</v>
      </c>
      <c r="M74" s="10">
        <f t="shared" si="27"/>
        <v>0</v>
      </c>
      <c r="N74" s="10">
        <f t="shared" ref="N74:N84" si="28">SUM(C74:L74)</f>
        <v>2326</v>
      </c>
      <c r="O74" s="10">
        <f t="shared" ref="O74:O84" si="29">O96+O115</f>
        <v>2479</v>
      </c>
      <c r="Q74" s="22" t="s">
        <v>121</v>
      </c>
    </row>
    <row r="75" spans="1:17" ht="12.5" x14ac:dyDescent="0.25">
      <c r="A75" t="s">
        <v>13</v>
      </c>
      <c r="B75" s="10">
        <f t="shared" ref="B75:M75" si="30">B97+B116</f>
        <v>4377</v>
      </c>
      <c r="C75" s="10">
        <f t="shared" si="30"/>
        <v>2399</v>
      </c>
      <c r="D75" s="10">
        <f t="shared" si="30"/>
        <v>148</v>
      </c>
      <c r="E75" s="10">
        <f t="shared" si="30"/>
        <v>1</v>
      </c>
      <c r="F75" s="10">
        <f t="shared" si="30"/>
        <v>46</v>
      </c>
      <c r="G75" s="10">
        <f t="shared" si="30"/>
        <v>0</v>
      </c>
      <c r="H75" s="10">
        <f t="shared" si="30"/>
        <v>8</v>
      </c>
      <c r="I75" s="10">
        <f t="shared" si="30"/>
        <v>0</v>
      </c>
      <c r="J75" s="10">
        <f t="shared" si="30"/>
        <v>0</v>
      </c>
      <c r="K75" s="10">
        <f t="shared" si="30"/>
        <v>109</v>
      </c>
      <c r="L75" s="10">
        <f t="shared" si="30"/>
        <v>2</v>
      </c>
      <c r="M75" s="10">
        <f t="shared" si="30"/>
        <v>3</v>
      </c>
      <c r="N75" s="10">
        <f t="shared" si="28"/>
        <v>2713</v>
      </c>
      <c r="O75" s="10">
        <f t="shared" si="29"/>
        <v>2844</v>
      </c>
      <c r="Q75" t="s">
        <v>122</v>
      </c>
    </row>
    <row r="76" spans="1:17" ht="12.5" x14ac:dyDescent="0.25">
      <c r="A76" t="s">
        <v>14</v>
      </c>
      <c r="B76" s="10">
        <f t="shared" ref="B76:M76" si="31">B98+B117</f>
        <v>5022</v>
      </c>
      <c r="C76" s="10">
        <f t="shared" si="31"/>
        <v>2622</v>
      </c>
      <c r="D76" s="10">
        <f t="shared" si="31"/>
        <v>178</v>
      </c>
      <c r="E76" s="10">
        <f t="shared" si="31"/>
        <v>2</v>
      </c>
      <c r="F76" s="10">
        <f t="shared" si="31"/>
        <v>25</v>
      </c>
      <c r="G76" s="10">
        <f t="shared" si="31"/>
        <v>0</v>
      </c>
      <c r="H76" s="10">
        <f t="shared" si="31"/>
        <v>9</v>
      </c>
      <c r="I76" s="10">
        <f t="shared" si="31"/>
        <v>11</v>
      </c>
      <c r="J76" s="10">
        <f t="shared" si="31"/>
        <v>9</v>
      </c>
      <c r="K76" s="10">
        <f t="shared" si="31"/>
        <v>196</v>
      </c>
      <c r="L76" s="10">
        <f t="shared" si="31"/>
        <v>7</v>
      </c>
      <c r="M76" s="10">
        <f t="shared" si="31"/>
        <v>0</v>
      </c>
      <c r="N76" s="10">
        <f t="shared" si="28"/>
        <v>3059</v>
      </c>
      <c r="O76" s="10">
        <f t="shared" si="29"/>
        <v>2455</v>
      </c>
      <c r="P76" s="12"/>
    </row>
    <row r="77" spans="1:17" ht="12.5" x14ac:dyDescent="0.25">
      <c r="A77" t="s">
        <v>15</v>
      </c>
      <c r="B77" s="10">
        <f t="shared" ref="B77:M77" si="32">B99+B118</f>
        <v>8902</v>
      </c>
      <c r="C77" s="10">
        <f t="shared" si="32"/>
        <v>3625</v>
      </c>
      <c r="D77" s="10">
        <f t="shared" si="32"/>
        <v>275</v>
      </c>
      <c r="E77" s="10">
        <f t="shared" si="32"/>
        <v>33</v>
      </c>
      <c r="F77" s="10">
        <f t="shared" si="32"/>
        <v>40</v>
      </c>
      <c r="G77" s="10">
        <f t="shared" si="32"/>
        <v>2</v>
      </c>
      <c r="H77" s="10">
        <f t="shared" si="32"/>
        <v>62</v>
      </c>
      <c r="I77" s="10">
        <f t="shared" si="32"/>
        <v>313</v>
      </c>
      <c r="J77" s="10">
        <f t="shared" si="32"/>
        <v>30</v>
      </c>
      <c r="K77" s="10">
        <f t="shared" si="32"/>
        <v>267</v>
      </c>
      <c r="L77" s="10">
        <f t="shared" si="32"/>
        <v>15</v>
      </c>
      <c r="M77" s="10">
        <f t="shared" si="32"/>
        <v>4</v>
      </c>
      <c r="N77" s="10">
        <f t="shared" si="28"/>
        <v>4662</v>
      </c>
      <c r="O77" s="10">
        <f t="shared" si="29"/>
        <v>4149</v>
      </c>
      <c r="P77" s="12"/>
      <c r="Q77" t="s">
        <v>123</v>
      </c>
    </row>
    <row r="78" spans="1:17" ht="12.5" x14ac:dyDescent="0.25">
      <c r="A78" t="s">
        <v>16</v>
      </c>
      <c r="B78" s="10">
        <f t="shared" ref="B78:M78" si="33">B100+B119</f>
        <v>9311</v>
      </c>
      <c r="C78" s="10">
        <f t="shared" si="33"/>
        <v>3369</v>
      </c>
      <c r="D78" s="10">
        <f t="shared" si="33"/>
        <v>204</v>
      </c>
      <c r="E78" s="10">
        <f t="shared" si="33"/>
        <v>23</v>
      </c>
      <c r="F78" s="10">
        <f t="shared" si="33"/>
        <v>27</v>
      </c>
      <c r="G78" s="10">
        <f t="shared" si="33"/>
        <v>14</v>
      </c>
      <c r="H78" s="10">
        <f t="shared" si="33"/>
        <v>99</v>
      </c>
      <c r="I78" s="10">
        <f t="shared" si="33"/>
        <v>560</v>
      </c>
      <c r="J78" s="10">
        <f t="shared" si="33"/>
        <v>140</v>
      </c>
      <c r="K78" s="10">
        <f t="shared" si="33"/>
        <v>185</v>
      </c>
      <c r="L78" s="10">
        <f t="shared" si="33"/>
        <v>8</v>
      </c>
      <c r="M78" s="10">
        <f t="shared" si="33"/>
        <v>9</v>
      </c>
      <c r="N78" s="10">
        <f t="shared" si="28"/>
        <v>4629</v>
      </c>
      <c r="O78" s="10">
        <f t="shared" si="29"/>
        <v>4045</v>
      </c>
    </row>
    <row r="79" spans="1:17" ht="12.5" x14ac:dyDescent="0.25">
      <c r="A79" t="s">
        <v>17</v>
      </c>
      <c r="B79" s="10">
        <f t="shared" ref="B79:M79" si="34">B101+B120</f>
        <v>15475</v>
      </c>
      <c r="C79" s="10">
        <f t="shared" si="34"/>
        <v>4572</v>
      </c>
      <c r="D79" s="10">
        <f t="shared" si="34"/>
        <v>195</v>
      </c>
      <c r="E79" s="10">
        <f t="shared" si="34"/>
        <v>18</v>
      </c>
      <c r="F79" s="10">
        <f t="shared" si="34"/>
        <v>26</v>
      </c>
      <c r="G79" s="10">
        <f t="shared" si="34"/>
        <v>25</v>
      </c>
      <c r="H79" s="10">
        <f t="shared" si="34"/>
        <v>207</v>
      </c>
      <c r="I79" s="10">
        <f t="shared" si="34"/>
        <v>2293</v>
      </c>
      <c r="J79" s="10">
        <f t="shared" si="34"/>
        <v>385</v>
      </c>
      <c r="K79" s="10">
        <f t="shared" si="34"/>
        <v>183</v>
      </c>
      <c r="L79" s="10">
        <f t="shared" si="34"/>
        <v>15</v>
      </c>
      <c r="M79" s="10">
        <f t="shared" si="34"/>
        <v>28</v>
      </c>
      <c r="N79" s="10">
        <f t="shared" si="28"/>
        <v>7919</v>
      </c>
      <c r="O79" s="10">
        <f t="shared" si="29"/>
        <v>3843.5</v>
      </c>
    </row>
    <row r="80" spans="1:17" ht="12.5" x14ac:dyDescent="0.25">
      <c r="A80" t="s">
        <v>18</v>
      </c>
      <c r="B80" s="10">
        <f t="shared" ref="B80:M80" si="35">B102+B121</f>
        <v>12094</v>
      </c>
      <c r="C80" s="10">
        <f t="shared" si="35"/>
        <v>3914</v>
      </c>
      <c r="D80" s="10">
        <f t="shared" si="35"/>
        <v>257</v>
      </c>
      <c r="E80" s="10">
        <f t="shared" si="35"/>
        <v>39</v>
      </c>
      <c r="F80" s="10">
        <f t="shared" si="35"/>
        <v>29</v>
      </c>
      <c r="G80" s="10">
        <f t="shared" si="35"/>
        <v>12</v>
      </c>
      <c r="H80" s="10">
        <f t="shared" si="35"/>
        <v>141</v>
      </c>
      <c r="I80" s="10">
        <f t="shared" si="35"/>
        <v>1075</v>
      </c>
      <c r="J80" s="10">
        <f t="shared" si="35"/>
        <v>218</v>
      </c>
      <c r="K80" s="10">
        <f t="shared" si="35"/>
        <v>223</v>
      </c>
      <c r="L80" s="10">
        <f t="shared" si="35"/>
        <v>8</v>
      </c>
      <c r="M80" s="10">
        <f t="shared" si="35"/>
        <v>5</v>
      </c>
      <c r="N80" s="10">
        <f t="shared" si="28"/>
        <v>5916</v>
      </c>
      <c r="O80" s="10">
        <f t="shared" si="29"/>
        <v>5308</v>
      </c>
    </row>
    <row r="81" spans="1:15" ht="12.5" x14ac:dyDescent="0.25">
      <c r="A81" t="s">
        <v>19</v>
      </c>
      <c r="B81" s="10">
        <f t="shared" ref="B81:M81" si="36">B103+B122</f>
        <v>6836</v>
      </c>
      <c r="C81" s="10">
        <f t="shared" si="36"/>
        <v>3050</v>
      </c>
      <c r="D81" s="10">
        <f t="shared" si="36"/>
        <v>243</v>
      </c>
      <c r="E81" s="10">
        <f t="shared" si="36"/>
        <v>6</v>
      </c>
      <c r="F81" s="10">
        <f t="shared" si="36"/>
        <v>63</v>
      </c>
      <c r="G81" s="10">
        <f t="shared" si="36"/>
        <v>2</v>
      </c>
      <c r="H81" s="10">
        <f t="shared" si="36"/>
        <v>40</v>
      </c>
      <c r="I81" s="10">
        <f t="shared" si="36"/>
        <v>68</v>
      </c>
      <c r="J81" s="10">
        <f t="shared" si="36"/>
        <v>37</v>
      </c>
      <c r="K81" s="10">
        <f t="shared" si="36"/>
        <v>178</v>
      </c>
      <c r="L81" s="10">
        <f t="shared" si="36"/>
        <v>14</v>
      </c>
      <c r="M81" s="10">
        <f t="shared" si="36"/>
        <v>2</v>
      </c>
      <c r="N81" s="10">
        <f t="shared" si="28"/>
        <v>3701</v>
      </c>
      <c r="O81" s="10">
        <f t="shared" si="29"/>
        <v>3692</v>
      </c>
    </row>
    <row r="82" spans="1:15" ht="12.5" x14ac:dyDescent="0.25">
      <c r="A82" t="s">
        <v>20</v>
      </c>
      <c r="B82" s="10">
        <f t="shared" ref="B82:M82" si="37">B104+B123</f>
        <v>6658</v>
      </c>
      <c r="C82" s="10">
        <f t="shared" si="37"/>
        <v>3389</v>
      </c>
      <c r="D82" s="10">
        <f t="shared" si="37"/>
        <v>238</v>
      </c>
      <c r="E82" s="10">
        <f t="shared" si="37"/>
        <v>1</v>
      </c>
      <c r="F82" s="10">
        <f t="shared" si="37"/>
        <v>57</v>
      </c>
      <c r="G82" s="10">
        <f t="shared" si="37"/>
        <v>2</v>
      </c>
      <c r="H82" s="10">
        <f t="shared" si="37"/>
        <v>13</v>
      </c>
      <c r="I82" s="10">
        <f t="shared" si="37"/>
        <v>4</v>
      </c>
      <c r="J82" s="10">
        <f t="shared" si="37"/>
        <v>4</v>
      </c>
      <c r="K82" s="10">
        <f t="shared" si="37"/>
        <v>211</v>
      </c>
      <c r="L82" s="10">
        <f t="shared" si="37"/>
        <v>6</v>
      </c>
      <c r="M82" s="10">
        <f t="shared" si="37"/>
        <v>0</v>
      </c>
      <c r="N82" s="10">
        <f t="shared" si="28"/>
        <v>3925</v>
      </c>
      <c r="O82" s="10">
        <f t="shared" si="29"/>
        <v>4037</v>
      </c>
    </row>
    <row r="83" spans="1:15" ht="12.5" x14ac:dyDescent="0.25">
      <c r="A83" t="s">
        <v>21</v>
      </c>
      <c r="B83" s="10">
        <f t="shared" ref="B83:M83" si="38">B105+B124</f>
        <v>5126</v>
      </c>
      <c r="C83" s="10">
        <f t="shared" si="38"/>
        <v>2753</v>
      </c>
      <c r="D83" s="10">
        <f t="shared" si="38"/>
        <v>203</v>
      </c>
      <c r="E83" s="10">
        <f t="shared" si="38"/>
        <v>0</v>
      </c>
      <c r="F83" s="10">
        <f t="shared" si="38"/>
        <v>42</v>
      </c>
      <c r="G83" s="10">
        <f t="shared" si="38"/>
        <v>1</v>
      </c>
      <c r="H83" s="10">
        <f t="shared" si="38"/>
        <v>6</v>
      </c>
      <c r="I83" s="10">
        <f t="shared" si="38"/>
        <v>0</v>
      </c>
      <c r="J83" s="10">
        <f t="shared" si="38"/>
        <v>2</v>
      </c>
      <c r="K83" s="10">
        <f t="shared" si="38"/>
        <v>162</v>
      </c>
      <c r="L83" s="10">
        <f t="shared" si="38"/>
        <v>1</v>
      </c>
      <c r="M83" s="10">
        <f t="shared" si="38"/>
        <v>0</v>
      </c>
      <c r="N83" s="10">
        <f t="shared" si="28"/>
        <v>3170</v>
      </c>
      <c r="O83" s="10">
        <f t="shared" si="29"/>
        <v>3191</v>
      </c>
    </row>
    <row r="84" spans="1:15" ht="12.5" x14ac:dyDescent="0.25">
      <c r="A84" s="39" t="s">
        <v>22</v>
      </c>
      <c r="B84" s="10">
        <f t="shared" ref="B84:M84" si="39">B106+B125</f>
        <v>4409</v>
      </c>
      <c r="C84" s="10">
        <f t="shared" si="39"/>
        <v>2433</v>
      </c>
      <c r="D84" s="10">
        <f t="shared" si="39"/>
        <v>137</v>
      </c>
      <c r="E84" s="10">
        <f t="shared" si="39"/>
        <v>0</v>
      </c>
      <c r="F84" s="10">
        <f t="shared" si="39"/>
        <v>34</v>
      </c>
      <c r="G84" s="10">
        <f t="shared" si="39"/>
        <v>0</v>
      </c>
      <c r="H84" s="10">
        <f t="shared" si="39"/>
        <v>8</v>
      </c>
      <c r="I84" s="10">
        <f t="shared" si="39"/>
        <v>1</v>
      </c>
      <c r="J84" s="10">
        <f t="shared" si="39"/>
        <v>2</v>
      </c>
      <c r="K84" s="10">
        <f t="shared" si="39"/>
        <v>97</v>
      </c>
      <c r="L84" s="10">
        <f t="shared" si="39"/>
        <v>1</v>
      </c>
      <c r="M84" s="10">
        <f t="shared" si="39"/>
        <v>1</v>
      </c>
      <c r="N84" s="10">
        <f t="shared" si="28"/>
        <v>2713</v>
      </c>
      <c r="O84" s="10">
        <f t="shared" si="29"/>
        <v>2397</v>
      </c>
    </row>
    <row r="85" spans="1:15" ht="13" x14ac:dyDescent="0.3">
      <c r="A85" s="3" t="s">
        <v>106</v>
      </c>
      <c r="B85" s="41">
        <f t="shared" ref="B85:O85" si="40">SUM(B73:B84)</f>
        <v>85620</v>
      </c>
      <c r="C85" s="41">
        <f t="shared" si="40"/>
        <v>36350</v>
      </c>
      <c r="D85" s="41">
        <f t="shared" si="40"/>
        <v>2350</v>
      </c>
      <c r="E85" s="41">
        <f t="shared" si="40"/>
        <v>124</v>
      </c>
      <c r="F85" s="41">
        <f t="shared" si="40"/>
        <v>441</v>
      </c>
      <c r="G85" s="130">
        <f t="shared" si="40"/>
        <v>58</v>
      </c>
      <c r="H85" s="130">
        <f t="shared" si="40"/>
        <v>607</v>
      </c>
      <c r="I85" s="130">
        <f t="shared" si="40"/>
        <v>4325</v>
      </c>
      <c r="J85" s="130">
        <f t="shared" si="40"/>
        <v>827</v>
      </c>
      <c r="K85" s="130">
        <f t="shared" si="40"/>
        <v>2009</v>
      </c>
      <c r="L85" s="41">
        <f t="shared" si="40"/>
        <v>82</v>
      </c>
      <c r="M85" s="90">
        <f t="shared" si="40"/>
        <v>52</v>
      </c>
      <c r="N85" s="41">
        <f t="shared" si="40"/>
        <v>47173</v>
      </c>
      <c r="O85" s="41">
        <f t="shared" si="40"/>
        <v>40141.5</v>
      </c>
    </row>
    <row r="86" spans="1:15" ht="13" x14ac:dyDescent="0.3">
      <c r="A86" s="5" t="s">
        <v>93</v>
      </c>
      <c r="B86" s="9">
        <v>87184</v>
      </c>
      <c r="C86" s="9">
        <v>37870</v>
      </c>
      <c r="D86" s="9">
        <v>2422</v>
      </c>
      <c r="E86" s="9">
        <v>142</v>
      </c>
      <c r="F86" s="9">
        <v>313</v>
      </c>
      <c r="G86" s="9">
        <v>129</v>
      </c>
      <c r="H86" s="9">
        <v>689</v>
      </c>
      <c r="I86" s="9">
        <v>3722</v>
      </c>
      <c r="J86" s="9">
        <v>955</v>
      </c>
      <c r="K86" s="9">
        <v>2245</v>
      </c>
      <c r="L86" s="9">
        <v>72</v>
      </c>
      <c r="M86" s="9">
        <v>30</v>
      </c>
      <c r="N86" s="9">
        <v>48559</v>
      </c>
      <c r="O86" s="9">
        <v>1943</v>
      </c>
    </row>
    <row r="87" spans="1:15" ht="13" x14ac:dyDescent="0.3">
      <c r="A87" s="5" t="s">
        <v>23</v>
      </c>
      <c r="B87" s="9">
        <f t="shared" ref="B87:J87" si="41">B85-B86</f>
        <v>-1564</v>
      </c>
      <c r="C87" s="9">
        <f t="shared" si="41"/>
        <v>-1520</v>
      </c>
      <c r="D87" s="9">
        <f t="shared" si="41"/>
        <v>-72</v>
      </c>
      <c r="E87" s="9">
        <f t="shared" si="41"/>
        <v>-18</v>
      </c>
      <c r="F87" s="9">
        <f t="shared" si="41"/>
        <v>128</v>
      </c>
      <c r="G87" s="9">
        <f t="shared" si="41"/>
        <v>-71</v>
      </c>
      <c r="H87" s="9">
        <f t="shared" si="41"/>
        <v>-82</v>
      </c>
      <c r="I87" s="9">
        <f t="shared" si="41"/>
        <v>603</v>
      </c>
      <c r="J87" s="9">
        <f t="shared" si="41"/>
        <v>-128</v>
      </c>
      <c r="K87" s="9"/>
      <c r="L87" s="9">
        <f t="shared" ref="L87:O87" si="42">L85-L86</f>
        <v>10</v>
      </c>
      <c r="M87" s="30">
        <f t="shared" si="42"/>
        <v>22</v>
      </c>
      <c r="N87" s="9">
        <f t="shared" si="42"/>
        <v>-1386</v>
      </c>
      <c r="O87" s="9">
        <f t="shared" si="42"/>
        <v>38198.5</v>
      </c>
    </row>
    <row r="94" spans="1:15" ht="13" x14ac:dyDescent="0.3">
      <c r="A94" s="1" t="s">
        <v>0</v>
      </c>
      <c r="B94" s="2" t="s">
        <v>1</v>
      </c>
      <c r="C94" s="2" t="s">
        <v>2</v>
      </c>
      <c r="D94" s="2" t="s">
        <v>3</v>
      </c>
      <c r="E94" s="2" t="s">
        <v>4</v>
      </c>
      <c r="F94" s="2" t="s">
        <v>5</v>
      </c>
      <c r="G94" s="67" t="s">
        <v>49</v>
      </c>
      <c r="H94" s="67" t="s">
        <v>46</v>
      </c>
      <c r="I94" s="67" t="s">
        <v>48</v>
      </c>
      <c r="J94" s="67" t="s">
        <v>47</v>
      </c>
      <c r="K94" s="67" t="s">
        <v>52</v>
      </c>
      <c r="L94" s="2" t="s">
        <v>6</v>
      </c>
      <c r="M94" s="33" t="s">
        <v>44</v>
      </c>
      <c r="N94" s="1" t="s">
        <v>8</v>
      </c>
      <c r="O94" s="73" t="s">
        <v>10</v>
      </c>
    </row>
    <row r="95" spans="1:15" ht="13" x14ac:dyDescent="0.3">
      <c r="A95" t="s">
        <v>11</v>
      </c>
      <c r="B95" s="10">
        <v>978</v>
      </c>
      <c r="C95" s="10">
        <v>564</v>
      </c>
      <c r="D95" s="10">
        <v>26</v>
      </c>
      <c r="E95" s="10">
        <v>1</v>
      </c>
      <c r="F95" s="10">
        <v>7</v>
      </c>
      <c r="G95" s="10">
        <v>0</v>
      </c>
      <c r="H95" s="10">
        <v>0</v>
      </c>
      <c r="I95" s="10">
        <v>0</v>
      </c>
      <c r="J95" s="10">
        <v>0</v>
      </c>
      <c r="K95" s="10">
        <v>23</v>
      </c>
      <c r="L95" s="10">
        <v>1</v>
      </c>
      <c r="M95" s="31">
        <v>0</v>
      </c>
      <c r="N95" s="10">
        <f>SUM(C95:L95)</f>
        <v>622</v>
      </c>
      <c r="O95" s="80">
        <v>359</v>
      </c>
    </row>
    <row r="96" spans="1:15" ht="13" x14ac:dyDescent="0.3">
      <c r="A96" t="s">
        <v>12</v>
      </c>
      <c r="B96" s="10">
        <v>752</v>
      </c>
      <c r="C96" s="10">
        <v>479</v>
      </c>
      <c r="D96" s="10">
        <v>25</v>
      </c>
      <c r="E96" s="10">
        <v>0</v>
      </c>
      <c r="F96" s="10">
        <v>7</v>
      </c>
      <c r="G96" s="10">
        <v>0</v>
      </c>
      <c r="H96" s="10">
        <v>0</v>
      </c>
      <c r="I96" s="10">
        <v>0</v>
      </c>
      <c r="J96" s="10">
        <v>0</v>
      </c>
      <c r="K96" s="10">
        <v>26</v>
      </c>
      <c r="L96" s="10">
        <v>0</v>
      </c>
      <c r="M96" s="31">
        <v>0</v>
      </c>
      <c r="N96" s="10">
        <f t="shared" ref="N96" si="43">SUM(C96:L96)</f>
        <v>537</v>
      </c>
      <c r="O96" s="80">
        <v>513</v>
      </c>
    </row>
    <row r="97" spans="1:15" ht="13" x14ac:dyDescent="0.3">
      <c r="A97" t="s">
        <v>13</v>
      </c>
      <c r="B97" s="10">
        <v>659</v>
      </c>
      <c r="C97" s="10">
        <v>392</v>
      </c>
      <c r="D97" s="10">
        <v>20</v>
      </c>
      <c r="E97" s="10">
        <v>0</v>
      </c>
      <c r="F97" s="10">
        <v>6</v>
      </c>
      <c r="G97" s="10">
        <v>0</v>
      </c>
      <c r="H97" s="10">
        <v>1</v>
      </c>
      <c r="I97" s="10">
        <v>0</v>
      </c>
      <c r="J97" s="10">
        <v>0</v>
      </c>
      <c r="K97" s="10">
        <v>15</v>
      </c>
      <c r="L97" s="10">
        <v>1</v>
      </c>
      <c r="M97" s="31">
        <v>0</v>
      </c>
      <c r="N97" s="10">
        <f>SUM(C97:L97)</f>
        <v>435</v>
      </c>
      <c r="O97" s="80">
        <v>353</v>
      </c>
    </row>
    <row r="98" spans="1:15" ht="13" x14ac:dyDescent="0.3">
      <c r="A98" t="s">
        <v>14</v>
      </c>
      <c r="B98" s="71">
        <v>904</v>
      </c>
      <c r="C98" s="71">
        <v>520</v>
      </c>
      <c r="D98" s="71">
        <v>32</v>
      </c>
      <c r="E98" s="71">
        <v>0</v>
      </c>
      <c r="F98" s="71">
        <v>3</v>
      </c>
      <c r="G98" s="85">
        <v>0</v>
      </c>
      <c r="H98" s="85">
        <v>0</v>
      </c>
      <c r="I98" s="85">
        <v>6</v>
      </c>
      <c r="J98" s="85">
        <v>0</v>
      </c>
      <c r="K98" s="85">
        <v>37</v>
      </c>
      <c r="L98" s="71">
        <v>1</v>
      </c>
      <c r="M98" s="31">
        <v>0</v>
      </c>
      <c r="N98" s="10">
        <f t="shared" ref="N98:N102" si="44">SUM(C98:L98)</f>
        <v>599</v>
      </c>
      <c r="O98" s="80">
        <v>410</v>
      </c>
    </row>
    <row r="99" spans="1:15" ht="13" x14ac:dyDescent="0.3">
      <c r="A99" t="s">
        <v>15</v>
      </c>
      <c r="B99" s="10">
        <v>2566</v>
      </c>
      <c r="C99" s="10">
        <v>1110</v>
      </c>
      <c r="D99" s="10">
        <v>119</v>
      </c>
      <c r="E99" s="10">
        <v>5</v>
      </c>
      <c r="F99" s="10">
        <v>12</v>
      </c>
      <c r="G99" s="69">
        <v>0</v>
      </c>
      <c r="H99" s="69">
        <v>20</v>
      </c>
      <c r="I99" s="69">
        <v>114</v>
      </c>
      <c r="J99" s="69">
        <v>7</v>
      </c>
      <c r="K99" s="69">
        <v>88</v>
      </c>
      <c r="L99" s="10">
        <v>3</v>
      </c>
      <c r="M99" s="31">
        <v>2</v>
      </c>
      <c r="N99" s="10">
        <f t="shared" si="44"/>
        <v>1478</v>
      </c>
      <c r="O99" s="80">
        <v>1043</v>
      </c>
    </row>
    <row r="100" spans="1:15" ht="13" x14ac:dyDescent="0.3">
      <c r="A100" t="s">
        <v>16</v>
      </c>
      <c r="B100" s="10">
        <f>325+956</f>
        <v>1281</v>
      </c>
      <c r="C100" s="10">
        <f>127+554</f>
        <v>681</v>
      </c>
      <c r="D100" s="10">
        <f>3+25</f>
        <v>28</v>
      </c>
      <c r="E100" s="10">
        <f>1+1</f>
        <v>2</v>
      </c>
      <c r="F100" s="10">
        <v>7</v>
      </c>
      <c r="G100" s="69">
        <v>0</v>
      </c>
      <c r="H100" s="69">
        <v>0</v>
      </c>
      <c r="I100" s="69">
        <v>8</v>
      </c>
      <c r="J100" s="69">
        <v>31</v>
      </c>
      <c r="K100" s="69">
        <f>16+23</f>
        <v>39</v>
      </c>
      <c r="L100" s="10">
        <v>1</v>
      </c>
      <c r="M100" s="31">
        <v>0</v>
      </c>
      <c r="N100" s="10">
        <f t="shared" si="44"/>
        <v>797</v>
      </c>
      <c r="O100" s="80">
        <f>58+359</f>
        <v>417</v>
      </c>
    </row>
    <row r="101" spans="1:15" ht="13" x14ac:dyDescent="0.3">
      <c r="A101" t="s">
        <v>17</v>
      </c>
      <c r="B101" s="10">
        <v>3642</v>
      </c>
      <c r="C101" s="10">
        <v>1035</v>
      </c>
      <c r="D101" s="10">
        <v>49</v>
      </c>
      <c r="E101" s="10">
        <v>3</v>
      </c>
      <c r="F101" s="10">
        <v>4</v>
      </c>
      <c r="G101" s="69">
        <v>10</v>
      </c>
      <c r="H101" s="69">
        <v>38</v>
      </c>
      <c r="I101" s="69">
        <v>644</v>
      </c>
      <c r="J101" s="69">
        <v>106</v>
      </c>
      <c r="K101" s="69">
        <v>39</v>
      </c>
      <c r="L101" s="10">
        <v>5</v>
      </c>
      <c r="M101" s="31">
        <v>6</v>
      </c>
      <c r="N101" s="10">
        <f t="shared" si="44"/>
        <v>1933</v>
      </c>
      <c r="O101" s="80">
        <v>651.5</v>
      </c>
    </row>
    <row r="102" spans="1:15" ht="13" x14ac:dyDescent="0.3">
      <c r="A102" t="s">
        <v>18</v>
      </c>
      <c r="B102" s="10">
        <f>803+2394</f>
        <v>3197</v>
      </c>
      <c r="C102" s="10">
        <f>293+775</f>
        <v>1068</v>
      </c>
      <c r="D102" s="10">
        <f>18+56</f>
        <v>74</v>
      </c>
      <c r="E102" s="10">
        <f>3+10</f>
        <v>13</v>
      </c>
      <c r="F102" s="10">
        <f>2+2</f>
        <v>4</v>
      </c>
      <c r="G102" s="69">
        <f>1+1</f>
        <v>2</v>
      </c>
      <c r="H102" s="69">
        <f>11+21</f>
        <v>32</v>
      </c>
      <c r="I102" s="69">
        <f>63+283</f>
        <v>346</v>
      </c>
      <c r="J102" s="69">
        <f>12+40</f>
        <v>52</v>
      </c>
      <c r="K102" s="69">
        <f>20+35</f>
        <v>55</v>
      </c>
      <c r="L102" s="10">
        <f>1+2</f>
        <v>3</v>
      </c>
      <c r="M102" s="31">
        <v>0</v>
      </c>
      <c r="N102" s="10">
        <f t="shared" si="44"/>
        <v>1649</v>
      </c>
      <c r="O102" s="80">
        <f>424+601</f>
        <v>1025</v>
      </c>
    </row>
    <row r="103" spans="1:15" ht="13" x14ac:dyDescent="0.3">
      <c r="A103" t="s">
        <v>19</v>
      </c>
      <c r="B103" s="10">
        <f>355+1278</f>
        <v>1633</v>
      </c>
      <c r="C103" s="10">
        <f>201+583</f>
        <v>784</v>
      </c>
      <c r="D103" s="10">
        <f>11+45</f>
        <v>56</v>
      </c>
      <c r="E103" s="10">
        <v>1</v>
      </c>
      <c r="F103" s="10">
        <v>10</v>
      </c>
      <c r="G103" s="10">
        <v>0</v>
      </c>
      <c r="H103" s="10">
        <v>11</v>
      </c>
      <c r="I103" s="10">
        <v>31</v>
      </c>
      <c r="J103" s="10">
        <v>7</v>
      </c>
      <c r="K103" s="10">
        <v>62</v>
      </c>
      <c r="L103" s="10">
        <v>0</v>
      </c>
      <c r="M103" s="31">
        <v>2</v>
      </c>
      <c r="N103" s="10">
        <f>SUM(C103:L103)</f>
        <v>962</v>
      </c>
      <c r="O103" s="80">
        <v>848</v>
      </c>
    </row>
    <row r="104" spans="1:15" ht="13" x14ac:dyDescent="0.3">
      <c r="A104" t="s">
        <v>20</v>
      </c>
      <c r="B104" s="10">
        <f>310+1288</f>
        <v>1598</v>
      </c>
      <c r="C104" s="10">
        <f>173+733</f>
        <v>906</v>
      </c>
      <c r="D104" s="10">
        <f>10+51</f>
        <v>61</v>
      </c>
      <c r="E104" s="10">
        <f>0</f>
        <v>0</v>
      </c>
      <c r="F104" s="10">
        <f>4+18</f>
        <v>22</v>
      </c>
      <c r="G104" s="10">
        <f>0</f>
        <v>0</v>
      </c>
      <c r="H104" s="10">
        <v>1</v>
      </c>
      <c r="I104" s="10">
        <v>1</v>
      </c>
      <c r="J104" s="10">
        <v>1</v>
      </c>
      <c r="K104" s="16">
        <f>13+42</f>
        <v>55</v>
      </c>
      <c r="L104" s="10">
        <v>1</v>
      </c>
      <c r="M104" s="31">
        <v>0</v>
      </c>
      <c r="N104" s="10">
        <f>SUM(C104:M104)</f>
        <v>1048</v>
      </c>
      <c r="O104" s="80">
        <f>82+833</f>
        <v>915</v>
      </c>
    </row>
    <row r="105" spans="1:15" ht="13" x14ac:dyDescent="0.3">
      <c r="A105" t="s">
        <v>21</v>
      </c>
      <c r="B105" s="10">
        <v>1107</v>
      </c>
      <c r="C105" s="10">
        <v>669</v>
      </c>
      <c r="D105" s="10">
        <v>51</v>
      </c>
      <c r="E105" s="10">
        <v>0</v>
      </c>
      <c r="F105" s="10">
        <v>10</v>
      </c>
      <c r="G105" s="10">
        <v>0</v>
      </c>
      <c r="H105" s="10">
        <v>1</v>
      </c>
      <c r="I105" s="10">
        <v>0</v>
      </c>
      <c r="J105" s="10">
        <v>0</v>
      </c>
      <c r="K105" s="10">
        <v>39</v>
      </c>
      <c r="L105" s="10">
        <v>1</v>
      </c>
      <c r="M105" s="31">
        <v>0</v>
      </c>
      <c r="N105" s="10">
        <f t="shared" ref="N105:N106" si="45">SUM(C105:L105)</f>
        <v>771</v>
      </c>
      <c r="O105" s="80">
        <v>657</v>
      </c>
    </row>
    <row r="106" spans="1:15" ht="13" x14ac:dyDescent="0.3">
      <c r="A106" s="4" t="s">
        <v>22</v>
      </c>
      <c r="B106" s="11">
        <v>1169</v>
      </c>
      <c r="C106" s="11">
        <v>707</v>
      </c>
      <c r="D106" s="11">
        <v>38</v>
      </c>
      <c r="E106" s="11">
        <v>0</v>
      </c>
      <c r="F106" s="11">
        <v>5</v>
      </c>
      <c r="G106" s="15">
        <v>0</v>
      </c>
      <c r="H106" s="15">
        <v>1</v>
      </c>
      <c r="I106" s="15">
        <v>1</v>
      </c>
      <c r="J106" s="15">
        <v>0</v>
      </c>
      <c r="K106" s="15">
        <v>27</v>
      </c>
      <c r="L106" s="11">
        <v>0</v>
      </c>
      <c r="M106" s="30">
        <v>1</v>
      </c>
      <c r="N106" s="11">
        <f t="shared" si="45"/>
        <v>779</v>
      </c>
      <c r="O106" s="81">
        <v>668</v>
      </c>
    </row>
    <row r="113" spans="1:15" ht="13" x14ac:dyDescent="0.3">
      <c r="A113" s="1" t="s">
        <v>0</v>
      </c>
      <c r="B113" s="2" t="s">
        <v>1</v>
      </c>
      <c r="C113" s="2" t="s">
        <v>2</v>
      </c>
      <c r="D113" s="2" t="s">
        <v>3</v>
      </c>
      <c r="E113" s="2" t="s">
        <v>4</v>
      </c>
      <c r="F113" s="2" t="s">
        <v>5</v>
      </c>
      <c r="G113" s="67" t="s">
        <v>49</v>
      </c>
      <c r="H113" s="67" t="s">
        <v>46</v>
      </c>
      <c r="I113" s="67" t="s">
        <v>48</v>
      </c>
      <c r="J113" s="67" t="s">
        <v>47</v>
      </c>
      <c r="K113" s="67" t="s">
        <v>52</v>
      </c>
      <c r="L113" s="2" t="s">
        <v>6</v>
      </c>
      <c r="M113" s="33" t="s">
        <v>44</v>
      </c>
      <c r="N113" s="1" t="s">
        <v>8</v>
      </c>
      <c r="O113" s="73" t="s">
        <v>10</v>
      </c>
    </row>
    <row r="114" spans="1:15" ht="13" x14ac:dyDescent="0.3">
      <c r="A114" t="s">
        <v>11</v>
      </c>
      <c r="B114" s="10">
        <v>2816</v>
      </c>
      <c r="C114" s="10">
        <v>1597</v>
      </c>
      <c r="D114" s="10">
        <v>113</v>
      </c>
      <c r="E114" s="10">
        <v>0</v>
      </c>
      <c r="F114" s="10">
        <v>16</v>
      </c>
      <c r="G114" s="10">
        <v>0</v>
      </c>
      <c r="H114" s="10">
        <v>6</v>
      </c>
      <c r="I114" s="10">
        <v>0</v>
      </c>
      <c r="J114" s="10">
        <v>0</v>
      </c>
      <c r="K114" s="10">
        <v>84</v>
      </c>
      <c r="L114" s="10">
        <v>2</v>
      </c>
      <c r="M114" s="31">
        <v>0</v>
      </c>
      <c r="N114" s="10">
        <f>SUM(C114:L114)</f>
        <v>1818</v>
      </c>
      <c r="O114" s="80">
        <v>1342</v>
      </c>
    </row>
    <row r="115" spans="1:15" ht="13" x14ac:dyDescent="0.3">
      <c r="A115" t="s">
        <v>12</v>
      </c>
      <c r="B115" s="10">
        <v>2864</v>
      </c>
      <c r="C115" s="10">
        <v>1584</v>
      </c>
      <c r="D115" s="10">
        <v>108</v>
      </c>
      <c r="E115" s="10">
        <v>0</v>
      </c>
      <c r="F115" s="10">
        <v>22</v>
      </c>
      <c r="G115" s="10">
        <v>0</v>
      </c>
      <c r="H115" s="10">
        <v>8</v>
      </c>
      <c r="I115" s="10">
        <v>0</v>
      </c>
      <c r="J115" s="10">
        <v>0</v>
      </c>
      <c r="K115" s="10">
        <v>65</v>
      </c>
      <c r="L115" s="10">
        <v>2</v>
      </c>
      <c r="M115" s="31">
        <v>0</v>
      </c>
      <c r="N115" s="10">
        <f t="shared" ref="N115" si="46">SUM(C115:L115)</f>
        <v>1789</v>
      </c>
      <c r="O115" s="80">
        <v>1966</v>
      </c>
    </row>
    <row r="116" spans="1:15" ht="13" x14ac:dyDescent="0.3">
      <c r="A116" t="s">
        <v>13</v>
      </c>
      <c r="B116" s="10">
        <v>3718</v>
      </c>
      <c r="C116" s="10">
        <v>2007</v>
      </c>
      <c r="D116" s="10">
        <v>128</v>
      </c>
      <c r="E116" s="10">
        <v>1</v>
      </c>
      <c r="F116" s="10">
        <v>40</v>
      </c>
      <c r="G116" s="10">
        <v>0</v>
      </c>
      <c r="H116" s="10">
        <v>7</v>
      </c>
      <c r="I116" s="10">
        <v>0</v>
      </c>
      <c r="J116" s="10">
        <v>0</v>
      </c>
      <c r="K116" s="10">
        <v>94</v>
      </c>
      <c r="L116" s="10">
        <v>1</v>
      </c>
      <c r="M116" s="31">
        <v>3</v>
      </c>
      <c r="N116" s="10">
        <f>SUM(C116:L116)</f>
        <v>2278</v>
      </c>
      <c r="O116" s="80">
        <v>2491</v>
      </c>
    </row>
    <row r="117" spans="1:15" ht="13" x14ac:dyDescent="0.3">
      <c r="A117" t="s">
        <v>14</v>
      </c>
      <c r="B117" s="71">
        <v>4118</v>
      </c>
      <c r="C117" s="71">
        <v>2102</v>
      </c>
      <c r="D117" s="71">
        <v>146</v>
      </c>
      <c r="E117" s="71">
        <v>2</v>
      </c>
      <c r="F117" s="71">
        <v>22</v>
      </c>
      <c r="G117" s="85">
        <v>0</v>
      </c>
      <c r="H117" s="85">
        <v>9</v>
      </c>
      <c r="I117" s="85">
        <v>5</v>
      </c>
      <c r="J117" s="85">
        <v>9</v>
      </c>
      <c r="K117" s="85">
        <v>159</v>
      </c>
      <c r="L117" s="71">
        <v>6</v>
      </c>
      <c r="M117" s="31">
        <v>0</v>
      </c>
      <c r="N117" s="10">
        <f>SUM(C117:L117)</f>
        <v>2460</v>
      </c>
      <c r="O117" s="80">
        <v>2045</v>
      </c>
    </row>
    <row r="118" spans="1:15" ht="13" x14ac:dyDescent="0.3">
      <c r="A118" t="s">
        <v>15</v>
      </c>
      <c r="B118" s="10">
        <v>6336</v>
      </c>
      <c r="C118" s="10">
        <v>2515</v>
      </c>
      <c r="D118" s="10">
        <v>156</v>
      </c>
      <c r="E118" s="10">
        <v>28</v>
      </c>
      <c r="F118" s="10">
        <v>28</v>
      </c>
      <c r="G118" s="69">
        <v>2</v>
      </c>
      <c r="H118" s="69">
        <v>42</v>
      </c>
      <c r="I118" s="69">
        <v>199</v>
      </c>
      <c r="J118" s="69">
        <v>23</v>
      </c>
      <c r="K118" s="69">
        <v>179</v>
      </c>
      <c r="L118" s="10">
        <v>12</v>
      </c>
      <c r="M118" s="31">
        <v>2</v>
      </c>
      <c r="N118" s="10">
        <f t="shared" ref="N118:N122" si="47">SUM(C118:L118)</f>
        <v>3184</v>
      </c>
      <c r="O118" s="80">
        <v>3106</v>
      </c>
    </row>
    <row r="119" spans="1:15" ht="13" x14ac:dyDescent="0.3">
      <c r="A119" t="s">
        <v>16</v>
      </c>
      <c r="B119" s="10">
        <v>8030</v>
      </c>
      <c r="C119" s="10">
        <v>2688</v>
      </c>
      <c r="D119" s="10">
        <v>176</v>
      </c>
      <c r="E119" s="10">
        <v>21</v>
      </c>
      <c r="F119" s="10">
        <v>20</v>
      </c>
      <c r="G119" s="69">
        <v>14</v>
      </c>
      <c r="H119" s="69">
        <v>99</v>
      </c>
      <c r="I119" s="69">
        <v>552</v>
      </c>
      <c r="J119" s="69">
        <v>109</v>
      </c>
      <c r="K119" s="69">
        <v>146</v>
      </c>
      <c r="L119" s="10">
        <v>7</v>
      </c>
      <c r="M119" s="31">
        <v>9</v>
      </c>
      <c r="N119" s="10">
        <f t="shared" si="47"/>
        <v>3832</v>
      </c>
      <c r="O119" s="80">
        <v>3628</v>
      </c>
    </row>
    <row r="120" spans="1:15" ht="13" x14ac:dyDescent="0.3">
      <c r="A120" t="s">
        <v>17</v>
      </c>
      <c r="B120" s="10">
        <v>11833</v>
      </c>
      <c r="C120" s="10">
        <v>3537</v>
      </c>
      <c r="D120" s="10">
        <v>146</v>
      </c>
      <c r="E120" s="10">
        <v>15</v>
      </c>
      <c r="F120" s="10">
        <v>22</v>
      </c>
      <c r="G120" s="69">
        <v>15</v>
      </c>
      <c r="H120" s="69">
        <v>169</v>
      </c>
      <c r="I120" s="69">
        <v>1649</v>
      </c>
      <c r="J120" s="69">
        <v>279</v>
      </c>
      <c r="K120" s="69">
        <v>144</v>
      </c>
      <c r="L120" s="10">
        <v>10</v>
      </c>
      <c r="M120" s="31">
        <v>22</v>
      </c>
      <c r="N120" s="10">
        <f t="shared" si="47"/>
        <v>5986</v>
      </c>
      <c r="O120" s="80">
        <v>3192</v>
      </c>
    </row>
    <row r="121" spans="1:15" ht="13" x14ac:dyDescent="0.3">
      <c r="A121" t="s">
        <v>18</v>
      </c>
      <c r="B121" s="10">
        <v>8897</v>
      </c>
      <c r="C121" s="10">
        <v>2846</v>
      </c>
      <c r="D121" s="10">
        <v>183</v>
      </c>
      <c r="E121" s="10">
        <v>26</v>
      </c>
      <c r="F121" s="10">
        <v>25</v>
      </c>
      <c r="G121" s="69">
        <v>10</v>
      </c>
      <c r="H121" s="69">
        <v>109</v>
      </c>
      <c r="I121" s="69">
        <v>729</v>
      </c>
      <c r="J121" s="69">
        <v>166</v>
      </c>
      <c r="K121" s="69">
        <v>168</v>
      </c>
      <c r="L121" s="10">
        <v>5</v>
      </c>
      <c r="M121" s="31">
        <v>5</v>
      </c>
      <c r="N121" s="10">
        <f t="shared" si="47"/>
        <v>4267</v>
      </c>
      <c r="O121" s="80">
        <v>4283</v>
      </c>
    </row>
    <row r="122" spans="1:15" ht="13" x14ac:dyDescent="0.3">
      <c r="A122" t="s">
        <v>19</v>
      </c>
      <c r="B122" s="10">
        <v>5203</v>
      </c>
      <c r="C122" s="10">
        <v>2266</v>
      </c>
      <c r="D122" s="10">
        <v>187</v>
      </c>
      <c r="E122" s="10">
        <v>5</v>
      </c>
      <c r="F122" s="10">
        <v>53</v>
      </c>
      <c r="G122" s="10">
        <v>2</v>
      </c>
      <c r="H122" s="10">
        <v>29</v>
      </c>
      <c r="I122" s="10">
        <v>37</v>
      </c>
      <c r="J122" s="10">
        <v>30</v>
      </c>
      <c r="K122" s="10">
        <v>116</v>
      </c>
      <c r="L122" s="10">
        <v>14</v>
      </c>
      <c r="M122" s="31">
        <v>0</v>
      </c>
      <c r="N122" s="10">
        <f t="shared" si="47"/>
        <v>2739</v>
      </c>
      <c r="O122" s="80">
        <v>2844</v>
      </c>
    </row>
    <row r="123" spans="1:15" ht="13" x14ac:dyDescent="0.3">
      <c r="A123" t="s">
        <v>20</v>
      </c>
      <c r="B123" s="10">
        <v>5060</v>
      </c>
      <c r="C123" s="10">
        <v>2483</v>
      </c>
      <c r="D123" s="10">
        <v>177</v>
      </c>
      <c r="E123" s="10">
        <v>1</v>
      </c>
      <c r="F123" s="10">
        <v>35</v>
      </c>
      <c r="G123" s="10">
        <v>2</v>
      </c>
      <c r="H123" s="10">
        <v>12</v>
      </c>
      <c r="I123" s="10">
        <v>3</v>
      </c>
      <c r="J123" s="10">
        <v>3</v>
      </c>
      <c r="K123" s="10">
        <v>156</v>
      </c>
      <c r="L123" s="10">
        <v>5</v>
      </c>
      <c r="M123" s="31">
        <v>0</v>
      </c>
      <c r="N123" s="10">
        <v>2877</v>
      </c>
      <c r="O123" s="80">
        <v>3122</v>
      </c>
    </row>
    <row r="124" spans="1:15" ht="13" x14ac:dyDescent="0.3">
      <c r="A124" t="s">
        <v>21</v>
      </c>
      <c r="B124" s="10">
        <v>4019</v>
      </c>
      <c r="C124" s="10">
        <v>2084</v>
      </c>
      <c r="D124" s="10">
        <v>152</v>
      </c>
      <c r="E124" s="10">
        <v>0</v>
      </c>
      <c r="F124" s="10">
        <v>32</v>
      </c>
      <c r="G124" s="10">
        <v>1</v>
      </c>
      <c r="H124" s="10">
        <v>5</v>
      </c>
      <c r="I124" s="10">
        <v>0</v>
      </c>
      <c r="J124" s="10">
        <v>2</v>
      </c>
      <c r="K124" s="10">
        <v>123</v>
      </c>
      <c r="L124" s="10">
        <v>0</v>
      </c>
      <c r="M124" s="31">
        <v>0</v>
      </c>
      <c r="N124" s="10">
        <v>2399</v>
      </c>
      <c r="O124" s="80">
        <v>2534</v>
      </c>
    </row>
    <row r="125" spans="1:15" ht="13" x14ac:dyDescent="0.3">
      <c r="A125" s="4" t="s">
        <v>22</v>
      </c>
      <c r="B125" s="11">
        <v>3240</v>
      </c>
      <c r="C125" s="11">
        <v>1726</v>
      </c>
      <c r="D125" s="11">
        <v>99</v>
      </c>
      <c r="E125" s="11">
        <v>0</v>
      </c>
      <c r="F125" s="11">
        <v>29</v>
      </c>
      <c r="G125" s="15">
        <v>0</v>
      </c>
      <c r="H125" s="15">
        <v>7</v>
      </c>
      <c r="I125" s="15">
        <v>0</v>
      </c>
      <c r="J125" s="15">
        <v>2</v>
      </c>
      <c r="K125" s="15">
        <v>70</v>
      </c>
      <c r="L125" s="11">
        <v>1</v>
      </c>
      <c r="M125" s="30">
        <v>0</v>
      </c>
      <c r="N125" s="11">
        <v>1934</v>
      </c>
      <c r="O125" s="81">
        <v>1729</v>
      </c>
    </row>
    <row r="128" spans="1:15" ht="18" x14ac:dyDescent="0.25">
      <c r="C128" s="3" t="s">
        <v>157</v>
      </c>
      <c r="G128" s="335" t="s">
        <v>158</v>
      </c>
    </row>
    <row r="131" spans="1:23" ht="12.75" customHeight="1" x14ac:dyDescent="0.3">
      <c r="A131" s="1" t="s">
        <v>0</v>
      </c>
      <c r="B131" s="2" t="s">
        <v>1</v>
      </c>
      <c r="C131" s="2" t="s">
        <v>2</v>
      </c>
      <c r="D131" s="2" t="s">
        <v>3</v>
      </c>
      <c r="E131" s="2" t="s">
        <v>4</v>
      </c>
      <c r="F131" s="2" t="s">
        <v>5</v>
      </c>
      <c r="G131" s="2" t="s">
        <v>49</v>
      </c>
      <c r="H131" s="2" t="s">
        <v>46</v>
      </c>
      <c r="I131" s="2" t="s">
        <v>48</v>
      </c>
      <c r="J131" s="2" t="s">
        <v>47</v>
      </c>
      <c r="K131" s="2" t="s">
        <v>52</v>
      </c>
      <c r="L131" s="2" t="s">
        <v>6</v>
      </c>
      <c r="M131" s="32" t="s">
        <v>44</v>
      </c>
      <c r="N131" s="1" t="s">
        <v>8</v>
      </c>
      <c r="O131" s="2" t="s">
        <v>10</v>
      </c>
      <c r="P131" s="2" t="s">
        <v>1</v>
      </c>
      <c r="Q131" s="2" t="s">
        <v>9</v>
      </c>
      <c r="S131" s="3" t="s">
        <v>129</v>
      </c>
      <c r="T131" s="3" t="s">
        <v>130</v>
      </c>
      <c r="V131" s="3" t="s">
        <v>103</v>
      </c>
      <c r="W131" s="3" t="s">
        <v>104</v>
      </c>
    </row>
    <row r="132" spans="1:23" ht="12.75" customHeight="1" x14ac:dyDescent="0.25">
      <c r="A132" t="s">
        <v>11</v>
      </c>
      <c r="B132" s="10">
        <f t="shared" ref="B132:M139" si="48">B153+B171</f>
        <v>3962</v>
      </c>
      <c r="C132" s="10">
        <f t="shared" si="48"/>
        <v>2214</v>
      </c>
      <c r="D132" s="10">
        <f t="shared" si="48"/>
        <v>116</v>
      </c>
      <c r="E132" s="10">
        <f t="shared" si="48"/>
        <v>1</v>
      </c>
      <c r="F132" s="10">
        <f t="shared" si="48"/>
        <v>51</v>
      </c>
      <c r="G132" s="10">
        <f t="shared" si="48"/>
        <v>0</v>
      </c>
      <c r="H132" s="10">
        <f t="shared" si="48"/>
        <v>6</v>
      </c>
      <c r="I132" s="10">
        <f t="shared" si="48"/>
        <v>0</v>
      </c>
      <c r="J132" s="10">
        <f t="shared" si="48"/>
        <v>14</v>
      </c>
      <c r="K132" s="10">
        <f t="shared" si="48"/>
        <v>103</v>
      </c>
      <c r="L132" s="10">
        <f t="shared" si="48"/>
        <v>21</v>
      </c>
      <c r="M132" s="10">
        <f t="shared" si="48"/>
        <v>1</v>
      </c>
      <c r="N132" s="10">
        <f>SUM(C132:L132)</f>
        <v>2526</v>
      </c>
      <c r="O132" s="10">
        <f>O153+O171</f>
        <v>2267</v>
      </c>
      <c r="P132" s="285">
        <f>S132/V132</f>
        <v>4.4280442804428041E-2</v>
      </c>
      <c r="Q132" s="286">
        <f>T132/W132</f>
        <v>3.5245901639344261E-2</v>
      </c>
      <c r="S132" s="143">
        <f>B132-V132</f>
        <v>168</v>
      </c>
      <c r="T132" s="143">
        <f>N132-W132</f>
        <v>86</v>
      </c>
      <c r="V132" s="10">
        <v>3794</v>
      </c>
      <c r="W132" s="12">
        <v>2440</v>
      </c>
    </row>
    <row r="133" spans="1:23" ht="12.75" customHeight="1" x14ac:dyDescent="0.25">
      <c r="A133" t="s">
        <v>12</v>
      </c>
      <c r="B133" s="10">
        <f t="shared" si="48"/>
        <v>3667</v>
      </c>
      <c r="C133" s="10">
        <f t="shared" si="48"/>
        <v>1994</v>
      </c>
      <c r="D133" s="10">
        <f t="shared" si="48"/>
        <v>127</v>
      </c>
      <c r="E133" s="10">
        <f t="shared" si="48"/>
        <v>0</v>
      </c>
      <c r="F133" s="10">
        <f t="shared" si="48"/>
        <v>37</v>
      </c>
      <c r="G133" s="10">
        <f t="shared" si="48"/>
        <v>0</v>
      </c>
      <c r="H133" s="10">
        <f t="shared" si="48"/>
        <v>0</v>
      </c>
      <c r="I133" s="10">
        <f t="shared" si="48"/>
        <v>0</v>
      </c>
      <c r="J133" s="10">
        <f t="shared" si="48"/>
        <v>0</v>
      </c>
      <c r="K133" s="10">
        <f t="shared" si="48"/>
        <v>104</v>
      </c>
      <c r="L133" s="10">
        <f t="shared" si="48"/>
        <v>1</v>
      </c>
      <c r="M133" s="10">
        <f t="shared" si="48"/>
        <v>0</v>
      </c>
      <c r="N133" s="10">
        <f t="shared" ref="N133:N143" si="49">SUM(C133:L133)</f>
        <v>2263</v>
      </c>
      <c r="O133" s="10">
        <f t="shared" ref="O133:O143" si="50">O154+O172</f>
        <v>2266</v>
      </c>
      <c r="P133" s="285">
        <f t="shared" ref="P133:Q143" si="51">S133/V133</f>
        <v>1.4103982300884955E-2</v>
      </c>
      <c r="Q133" s="287">
        <f t="shared" si="51"/>
        <v>-2.708512467755804E-2</v>
      </c>
      <c r="S133" s="143">
        <f t="shared" ref="S133:S140" si="52">B133-V133</f>
        <v>51</v>
      </c>
      <c r="T133" s="143">
        <f>N133-W133</f>
        <v>-63</v>
      </c>
      <c r="V133" s="10">
        <v>3616</v>
      </c>
      <c r="W133" s="12">
        <v>2326</v>
      </c>
    </row>
    <row r="134" spans="1:23" ht="12.75" customHeight="1" x14ac:dyDescent="0.25">
      <c r="A134" t="s">
        <v>13</v>
      </c>
      <c r="B134" s="10">
        <f t="shared" si="48"/>
        <v>4276</v>
      </c>
      <c r="C134" s="10">
        <f t="shared" si="48"/>
        <v>2369</v>
      </c>
      <c r="D134" s="10">
        <f t="shared" si="48"/>
        <v>128</v>
      </c>
      <c r="E134" s="10">
        <f t="shared" si="48"/>
        <v>0</v>
      </c>
      <c r="F134" s="10">
        <f t="shared" si="48"/>
        <v>38</v>
      </c>
      <c r="G134" s="10">
        <f t="shared" si="48"/>
        <v>0</v>
      </c>
      <c r="H134" s="10">
        <f t="shared" si="48"/>
        <v>3</v>
      </c>
      <c r="I134" s="10">
        <f t="shared" si="48"/>
        <v>0</v>
      </c>
      <c r="J134" s="10">
        <f t="shared" si="48"/>
        <v>3</v>
      </c>
      <c r="K134" s="10">
        <f t="shared" si="48"/>
        <v>132</v>
      </c>
      <c r="L134" s="10">
        <f t="shared" si="48"/>
        <v>2</v>
      </c>
      <c r="M134" s="10">
        <f t="shared" si="48"/>
        <v>0</v>
      </c>
      <c r="N134" s="10">
        <f t="shared" si="49"/>
        <v>2675</v>
      </c>
      <c r="O134" s="10">
        <f t="shared" si="50"/>
        <v>2366.5</v>
      </c>
      <c r="P134" s="285">
        <f t="shared" si="51"/>
        <v>-2.3075165638565227E-2</v>
      </c>
      <c r="Q134" s="287">
        <f t="shared" si="51"/>
        <v>-1.4006634721710284E-2</v>
      </c>
      <c r="S134" s="143">
        <f t="shared" si="52"/>
        <v>-101</v>
      </c>
      <c r="T134" s="143">
        <f t="shared" ref="T134:T143" si="53">N134-W134</f>
        <v>-38</v>
      </c>
      <c r="V134" s="10">
        <v>4377</v>
      </c>
      <c r="W134" s="12">
        <v>2713</v>
      </c>
    </row>
    <row r="135" spans="1:23" ht="12.75" customHeight="1" x14ac:dyDescent="0.25">
      <c r="A135" t="s">
        <v>14</v>
      </c>
      <c r="B135" s="10">
        <f t="shared" si="48"/>
        <v>5867</v>
      </c>
      <c r="C135" s="10">
        <f t="shared" si="48"/>
        <v>2976</v>
      </c>
      <c r="D135" s="10">
        <f t="shared" si="48"/>
        <v>145</v>
      </c>
      <c r="E135" s="10">
        <f t="shared" si="48"/>
        <v>30</v>
      </c>
      <c r="F135" s="10">
        <f t="shared" si="48"/>
        <v>54</v>
      </c>
      <c r="G135" s="10">
        <f t="shared" si="48"/>
        <v>5</v>
      </c>
      <c r="H135" s="10">
        <f t="shared" si="48"/>
        <v>10</v>
      </c>
      <c r="I135" s="10">
        <f t="shared" si="48"/>
        <v>2</v>
      </c>
      <c r="J135" s="10">
        <f t="shared" si="48"/>
        <v>15</v>
      </c>
      <c r="K135" s="10">
        <f t="shared" si="48"/>
        <v>214</v>
      </c>
      <c r="L135" s="10">
        <f t="shared" si="48"/>
        <v>8</v>
      </c>
      <c r="M135" s="10">
        <f t="shared" si="48"/>
        <v>0</v>
      </c>
      <c r="N135" s="10">
        <f t="shared" si="49"/>
        <v>3459</v>
      </c>
      <c r="O135" s="10">
        <f t="shared" si="50"/>
        <v>3301</v>
      </c>
      <c r="P135" s="285">
        <f t="shared" si="51"/>
        <v>0.16825965750696933</v>
      </c>
      <c r="Q135" s="287">
        <f t="shared" si="51"/>
        <v>0.13076168682576006</v>
      </c>
      <c r="S135" s="143">
        <f t="shared" si="52"/>
        <v>845</v>
      </c>
      <c r="T135" s="143">
        <f t="shared" si="53"/>
        <v>400</v>
      </c>
      <c r="U135" s="79"/>
      <c r="V135" s="10">
        <v>5022</v>
      </c>
      <c r="W135" s="12">
        <v>3059</v>
      </c>
    </row>
    <row r="136" spans="1:23" ht="12.75" customHeight="1" x14ac:dyDescent="0.25">
      <c r="A136" t="s">
        <v>15</v>
      </c>
      <c r="B136" s="10">
        <f t="shared" si="48"/>
        <v>7785</v>
      </c>
      <c r="C136" s="10">
        <f t="shared" si="48"/>
        <v>3562</v>
      </c>
      <c r="D136" s="10">
        <f t="shared" si="48"/>
        <v>212</v>
      </c>
      <c r="E136" s="10">
        <f t="shared" si="48"/>
        <v>19</v>
      </c>
      <c r="F136" s="10">
        <f t="shared" si="48"/>
        <v>49</v>
      </c>
      <c r="G136" s="10">
        <f t="shared" si="48"/>
        <v>6</v>
      </c>
      <c r="H136" s="10">
        <f t="shared" si="48"/>
        <v>58</v>
      </c>
      <c r="I136" s="10">
        <f t="shared" si="48"/>
        <v>165</v>
      </c>
      <c r="J136" s="10">
        <f t="shared" si="48"/>
        <v>23</v>
      </c>
      <c r="K136" s="10">
        <f t="shared" si="48"/>
        <v>296</v>
      </c>
      <c r="L136" s="10">
        <f t="shared" si="48"/>
        <v>8</v>
      </c>
      <c r="M136" s="10">
        <f t="shared" si="48"/>
        <v>0</v>
      </c>
      <c r="N136" s="10">
        <f t="shared" si="49"/>
        <v>4398</v>
      </c>
      <c r="O136" s="10">
        <f t="shared" si="50"/>
        <v>4010</v>
      </c>
      <c r="P136" s="285">
        <f t="shared" si="51"/>
        <v>-0.12547742080431365</v>
      </c>
      <c r="Q136" s="287">
        <f t="shared" si="51"/>
        <v>-5.6628056628056631E-2</v>
      </c>
      <c r="S136" s="143">
        <f t="shared" si="52"/>
        <v>-1117</v>
      </c>
      <c r="T136" s="143">
        <f t="shared" si="53"/>
        <v>-264</v>
      </c>
      <c r="V136" s="10">
        <v>8902</v>
      </c>
      <c r="W136" s="12">
        <v>4662</v>
      </c>
    </row>
    <row r="137" spans="1:23" ht="12.75" customHeight="1" x14ac:dyDescent="0.25">
      <c r="A137" t="s">
        <v>16</v>
      </c>
      <c r="B137" s="10">
        <f t="shared" si="48"/>
        <v>11195</v>
      </c>
      <c r="C137" s="10">
        <f t="shared" si="48"/>
        <v>4007</v>
      </c>
      <c r="D137" s="10">
        <f t="shared" si="48"/>
        <v>192</v>
      </c>
      <c r="E137" s="10">
        <f t="shared" si="48"/>
        <v>19</v>
      </c>
      <c r="F137" s="10">
        <f t="shared" si="48"/>
        <v>34</v>
      </c>
      <c r="G137" s="10">
        <f t="shared" si="48"/>
        <v>17</v>
      </c>
      <c r="H137" s="10">
        <f t="shared" si="48"/>
        <v>137</v>
      </c>
      <c r="I137" s="10">
        <f t="shared" si="48"/>
        <v>727</v>
      </c>
      <c r="J137" s="10">
        <f t="shared" si="48"/>
        <v>239</v>
      </c>
      <c r="K137" s="10">
        <f t="shared" si="48"/>
        <v>233</v>
      </c>
      <c r="L137" s="10">
        <f t="shared" si="48"/>
        <v>1</v>
      </c>
      <c r="M137" s="10">
        <f t="shared" si="48"/>
        <v>0</v>
      </c>
      <c r="N137" s="10">
        <f t="shared" si="49"/>
        <v>5606</v>
      </c>
      <c r="O137" s="10">
        <f t="shared" si="50"/>
        <v>4591</v>
      </c>
      <c r="P137" s="285">
        <f t="shared" si="51"/>
        <v>0.20234131672215658</v>
      </c>
      <c r="Q137" s="287">
        <f t="shared" si="51"/>
        <v>0.21106070425577877</v>
      </c>
      <c r="S137" s="143">
        <f t="shared" si="52"/>
        <v>1884</v>
      </c>
      <c r="T137" s="143">
        <f t="shared" si="53"/>
        <v>977</v>
      </c>
      <c r="V137" s="10">
        <v>9311</v>
      </c>
      <c r="W137" s="12">
        <v>4629</v>
      </c>
    </row>
    <row r="138" spans="1:23" ht="12.75" customHeight="1" x14ac:dyDescent="0.25">
      <c r="A138" t="s">
        <v>17</v>
      </c>
      <c r="B138" s="10">
        <f t="shared" si="48"/>
        <v>15512</v>
      </c>
      <c r="C138" s="10">
        <f t="shared" si="48"/>
        <v>4689</v>
      </c>
      <c r="D138" s="10">
        <f t="shared" si="48"/>
        <v>184</v>
      </c>
      <c r="E138" s="10">
        <f t="shared" si="48"/>
        <v>24</v>
      </c>
      <c r="F138" s="10">
        <f t="shared" si="48"/>
        <v>15</v>
      </c>
      <c r="G138" s="10">
        <f t="shared" si="48"/>
        <v>32</v>
      </c>
      <c r="H138" s="10">
        <f t="shared" si="48"/>
        <v>204</v>
      </c>
      <c r="I138" s="10">
        <f t="shared" si="48"/>
        <v>2107</v>
      </c>
      <c r="J138" s="10">
        <f t="shared" si="48"/>
        <v>493</v>
      </c>
      <c r="K138" s="10">
        <f t="shared" si="48"/>
        <v>176</v>
      </c>
      <c r="L138" s="10">
        <f t="shared" si="48"/>
        <v>1</v>
      </c>
      <c r="M138" s="10">
        <f t="shared" si="48"/>
        <v>23</v>
      </c>
      <c r="N138" s="10">
        <f t="shared" si="49"/>
        <v>7925</v>
      </c>
      <c r="O138" s="10">
        <f t="shared" si="50"/>
        <v>3368</v>
      </c>
      <c r="P138" s="285">
        <f t="shared" si="51"/>
        <v>2.3909531502423263E-3</v>
      </c>
      <c r="Q138" s="287">
        <f t="shared" si="51"/>
        <v>7.5767142315948989E-4</v>
      </c>
      <c r="S138" s="143">
        <f t="shared" si="52"/>
        <v>37</v>
      </c>
      <c r="T138" s="143">
        <f t="shared" si="53"/>
        <v>6</v>
      </c>
      <c r="V138" s="10">
        <v>15475</v>
      </c>
      <c r="W138" s="12">
        <v>7919</v>
      </c>
    </row>
    <row r="139" spans="1:23" ht="12.75" customHeight="1" x14ac:dyDescent="0.25">
      <c r="A139" t="s">
        <v>18</v>
      </c>
      <c r="B139" s="10">
        <f t="shared" si="48"/>
        <v>10160</v>
      </c>
      <c r="C139" s="10">
        <f t="shared" si="48"/>
        <v>3612</v>
      </c>
      <c r="D139" s="10">
        <f t="shared" si="48"/>
        <v>202</v>
      </c>
      <c r="E139" s="10">
        <f t="shared" si="48"/>
        <v>28</v>
      </c>
      <c r="F139" s="10">
        <f t="shared" si="48"/>
        <v>18</v>
      </c>
      <c r="G139" s="10">
        <f t="shared" si="48"/>
        <v>13</v>
      </c>
      <c r="H139" s="10">
        <f t="shared" si="48"/>
        <v>143</v>
      </c>
      <c r="I139" s="10">
        <f t="shared" si="48"/>
        <v>843</v>
      </c>
      <c r="J139" s="10">
        <f t="shared" si="48"/>
        <v>219</v>
      </c>
      <c r="K139" s="10">
        <f t="shared" si="48"/>
        <v>166</v>
      </c>
      <c r="L139" s="10">
        <f t="shared" si="48"/>
        <v>9</v>
      </c>
      <c r="M139" s="10">
        <f t="shared" si="48"/>
        <v>11</v>
      </c>
      <c r="N139" s="10">
        <f t="shared" si="49"/>
        <v>5253</v>
      </c>
      <c r="O139" s="10">
        <f t="shared" si="50"/>
        <v>3989</v>
      </c>
      <c r="P139" s="285">
        <f t="shared" si="51"/>
        <v>-0.15991400694559285</v>
      </c>
      <c r="Q139" s="287">
        <f t="shared" si="51"/>
        <v>-0.11206896551724138</v>
      </c>
      <c r="S139" s="143">
        <f t="shared" si="52"/>
        <v>-1934</v>
      </c>
      <c r="T139" s="143">
        <f t="shared" si="53"/>
        <v>-663</v>
      </c>
      <c r="V139" s="10">
        <v>12094</v>
      </c>
      <c r="W139" s="12">
        <v>5916</v>
      </c>
    </row>
    <row r="140" spans="1:23" ht="12.75" customHeight="1" x14ac:dyDescent="0.25">
      <c r="A140" t="s">
        <v>19</v>
      </c>
      <c r="B140" s="10">
        <f>B179+B161</f>
        <v>3012</v>
      </c>
      <c r="C140" s="10">
        <f t="shared" ref="C140:O140" si="54">C179+C161</f>
        <v>1279</v>
      </c>
      <c r="D140" s="10">
        <f t="shared" si="54"/>
        <v>78</v>
      </c>
      <c r="E140" s="10">
        <f t="shared" si="54"/>
        <v>6</v>
      </c>
      <c r="F140" s="10">
        <f t="shared" si="54"/>
        <v>28</v>
      </c>
      <c r="G140" s="10">
        <f t="shared" si="54"/>
        <v>2</v>
      </c>
      <c r="H140" s="10">
        <f t="shared" si="54"/>
        <v>10</v>
      </c>
      <c r="I140" s="10">
        <f t="shared" si="54"/>
        <v>14</v>
      </c>
      <c r="J140" s="10">
        <f t="shared" si="54"/>
        <v>6</v>
      </c>
      <c r="K140" s="10">
        <f t="shared" si="54"/>
        <v>68</v>
      </c>
      <c r="L140" s="10">
        <f t="shared" si="54"/>
        <v>1</v>
      </c>
      <c r="M140" s="10">
        <f t="shared" si="54"/>
        <v>102</v>
      </c>
      <c r="N140" s="10">
        <f t="shared" si="54"/>
        <v>1492</v>
      </c>
      <c r="O140" s="10">
        <f t="shared" si="54"/>
        <v>804</v>
      </c>
      <c r="P140" s="285">
        <f t="shared" si="51"/>
        <v>-0.55939145699239323</v>
      </c>
      <c r="Q140" s="287">
        <f t="shared" si="51"/>
        <v>-0.59686571196973792</v>
      </c>
      <c r="S140" s="143">
        <f t="shared" si="52"/>
        <v>-3824</v>
      </c>
      <c r="T140" s="143">
        <f t="shared" si="53"/>
        <v>-2209</v>
      </c>
      <c r="V140" s="10">
        <v>6836</v>
      </c>
      <c r="W140" s="12">
        <v>3701</v>
      </c>
    </row>
    <row r="141" spans="1:23" ht="12.75" customHeight="1" x14ac:dyDescent="0.25">
      <c r="A141" t="s">
        <v>20</v>
      </c>
      <c r="B141" s="10">
        <f t="shared" ref="B141:M143" si="55">B162+B180</f>
        <v>5413</v>
      </c>
      <c r="C141" s="10">
        <f t="shared" si="55"/>
        <v>3030</v>
      </c>
      <c r="D141" s="10">
        <f t="shared" si="55"/>
        <v>173</v>
      </c>
      <c r="E141" s="10">
        <f t="shared" si="55"/>
        <v>0</v>
      </c>
      <c r="F141" s="10">
        <f t="shared" si="55"/>
        <v>48</v>
      </c>
      <c r="G141" s="10">
        <f t="shared" si="55"/>
        <v>0</v>
      </c>
      <c r="H141" s="10">
        <f t="shared" si="55"/>
        <v>13</v>
      </c>
      <c r="I141" s="10">
        <f t="shared" si="55"/>
        <v>3</v>
      </c>
      <c r="J141" s="10">
        <f t="shared" si="55"/>
        <v>4</v>
      </c>
      <c r="K141" s="10">
        <f t="shared" si="55"/>
        <v>219</v>
      </c>
      <c r="L141" s="10">
        <f t="shared" si="55"/>
        <v>6</v>
      </c>
      <c r="M141" s="10">
        <f t="shared" si="55"/>
        <v>0</v>
      </c>
      <c r="N141" s="10">
        <f t="shared" si="49"/>
        <v>3496</v>
      </c>
      <c r="O141" s="10">
        <f t="shared" si="50"/>
        <v>2311</v>
      </c>
      <c r="P141" s="285">
        <f t="shared" si="51"/>
        <v>-0.18699309101832381</v>
      </c>
      <c r="Q141" s="287">
        <f t="shared" si="51"/>
        <v>-0.10929936305732484</v>
      </c>
      <c r="S141" s="143">
        <f>B141-V141</f>
        <v>-1245</v>
      </c>
      <c r="T141" s="143">
        <f t="shared" si="53"/>
        <v>-429</v>
      </c>
      <c r="V141" s="10">
        <v>6658</v>
      </c>
      <c r="W141" s="12">
        <v>3925</v>
      </c>
    </row>
    <row r="142" spans="1:23" ht="12.75" customHeight="1" x14ac:dyDescent="0.25">
      <c r="A142" t="s">
        <v>21</v>
      </c>
      <c r="B142" s="10">
        <f t="shared" si="55"/>
        <v>4233</v>
      </c>
      <c r="C142" s="10">
        <f t="shared" si="55"/>
        <v>2540</v>
      </c>
      <c r="D142" s="10">
        <f t="shared" si="55"/>
        <v>136</v>
      </c>
      <c r="E142" s="10">
        <f t="shared" si="55"/>
        <v>0</v>
      </c>
      <c r="F142" s="10">
        <f t="shared" si="55"/>
        <v>26</v>
      </c>
      <c r="G142" s="10">
        <f t="shared" si="55"/>
        <v>0</v>
      </c>
      <c r="H142" s="10">
        <f t="shared" si="55"/>
        <v>6</v>
      </c>
      <c r="I142" s="10">
        <f t="shared" si="55"/>
        <v>1</v>
      </c>
      <c r="J142" s="10">
        <f t="shared" si="55"/>
        <v>0</v>
      </c>
      <c r="K142" s="10">
        <f t="shared" si="55"/>
        <v>160</v>
      </c>
      <c r="L142" s="10">
        <f t="shared" si="55"/>
        <v>2</v>
      </c>
      <c r="M142" s="10">
        <f t="shared" si="55"/>
        <v>0</v>
      </c>
      <c r="N142" s="10">
        <f t="shared" si="49"/>
        <v>2871</v>
      </c>
      <c r="O142" s="10">
        <f t="shared" si="50"/>
        <v>2041</v>
      </c>
      <c r="P142" s="285">
        <f t="shared" si="51"/>
        <v>-0.17420991026141242</v>
      </c>
      <c r="Q142" s="287">
        <f t="shared" si="51"/>
        <v>-9.4321766561514198E-2</v>
      </c>
      <c r="S142" s="143">
        <f>B142-V142</f>
        <v>-893</v>
      </c>
      <c r="T142" s="143">
        <f t="shared" si="53"/>
        <v>-299</v>
      </c>
      <c r="V142" s="10">
        <v>5126</v>
      </c>
      <c r="W142" s="12">
        <v>3170</v>
      </c>
    </row>
    <row r="143" spans="1:23" ht="12.75" customHeight="1" thickBot="1" x14ac:dyDescent="0.3">
      <c r="A143" s="374" t="s">
        <v>22</v>
      </c>
      <c r="B143" s="382">
        <f t="shared" si="55"/>
        <v>4193</v>
      </c>
      <c r="C143" s="382">
        <f t="shared" si="55"/>
        <v>2430</v>
      </c>
      <c r="D143" s="382">
        <f t="shared" si="55"/>
        <v>134</v>
      </c>
      <c r="E143" s="382">
        <f t="shared" si="55"/>
        <v>0</v>
      </c>
      <c r="F143" s="382">
        <f t="shared" si="55"/>
        <v>38</v>
      </c>
      <c r="G143" s="382">
        <f t="shared" si="55"/>
        <v>4</v>
      </c>
      <c r="H143" s="382">
        <f t="shared" si="55"/>
        <v>9</v>
      </c>
      <c r="I143" s="382">
        <f t="shared" si="55"/>
        <v>0</v>
      </c>
      <c r="J143" s="382">
        <f t="shared" si="55"/>
        <v>1</v>
      </c>
      <c r="K143" s="382">
        <f t="shared" si="55"/>
        <v>123</v>
      </c>
      <c r="L143" s="382">
        <f t="shared" si="55"/>
        <v>4</v>
      </c>
      <c r="M143" s="382">
        <f t="shared" si="55"/>
        <v>0</v>
      </c>
      <c r="N143" s="382">
        <f t="shared" si="49"/>
        <v>2743</v>
      </c>
      <c r="O143" s="382">
        <f t="shared" si="50"/>
        <v>2082</v>
      </c>
      <c r="P143" s="383">
        <f t="shared" si="51"/>
        <v>-4.8990700839192561E-2</v>
      </c>
      <c r="Q143" s="384">
        <f t="shared" si="51"/>
        <v>1.1057869517139697E-2</v>
      </c>
      <c r="S143" s="169">
        <f>B143-V143</f>
        <v>-216</v>
      </c>
      <c r="T143" s="169">
        <f t="shared" si="53"/>
        <v>30</v>
      </c>
      <c r="V143" s="10">
        <v>4409</v>
      </c>
      <c r="W143" s="20">
        <v>2713</v>
      </c>
    </row>
    <row r="144" spans="1:23" ht="12.75" customHeight="1" x14ac:dyDescent="0.3">
      <c r="A144" s="3" t="s">
        <v>131</v>
      </c>
      <c r="B144" s="8">
        <f t="shared" ref="B144:O144" si="56">SUM(B132:B143)</f>
        <v>79275</v>
      </c>
      <c r="C144" s="8">
        <f t="shared" si="56"/>
        <v>34702</v>
      </c>
      <c r="D144" s="8">
        <f t="shared" si="56"/>
        <v>1827</v>
      </c>
      <c r="E144" s="8">
        <f t="shared" si="56"/>
        <v>127</v>
      </c>
      <c r="F144" s="8">
        <f t="shared" si="56"/>
        <v>436</v>
      </c>
      <c r="G144" s="8">
        <f t="shared" si="56"/>
        <v>79</v>
      </c>
      <c r="H144" s="8">
        <f t="shared" si="56"/>
        <v>599</v>
      </c>
      <c r="I144" s="8">
        <f t="shared" si="56"/>
        <v>3862</v>
      </c>
      <c r="J144" s="8">
        <f t="shared" si="56"/>
        <v>1017</v>
      </c>
      <c r="K144" s="8">
        <f t="shared" si="56"/>
        <v>1994</v>
      </c>
      <c r="L144" s="8">
        <f t="shared" si="56"/>
        <v>64</v>
      </c>
      <c r="M144" s="31">
        <f t="shared" si="56"/>
        <v>137</v>
      </c>
      <c r="N144" s="8">
        <f t="shared" si="56"/>
        <v>44707</v>
      </c>
      <c r="O144" s="8">
        <f t="shared" si="56"/>
        <v>33396.5</v>
      </c>
      <c r="P144" s="186"/>
      <c r="Q144" s="187">
        <f>T144/W144</f>
        <v>-5.2275666164967247E-2</v>
      </c>
      <c r="S144" s="143">
        <f>SUM(S132:S143)</f>
        <v>-6345</v>
      </c>
      <c r="T144" s="143">
        <f>SUM(T132:T143)</f>
        <v>-2466</v>
      </c>
      <c r="V144" s="12">
        <f>SUM(V132:V143)</f>
        <v>85620</v>
      </c>
      <c r="W144" s="12">
        <f>SUM(W132:W143)</f>
        <v>47173</v>
      </c>
    </row>
    <row r="145" spans="1:17" ht="12.75" customHeight="1" x14ac:dyDescent="0.3">
      <c r="A145" s="5" t="s">
        <v>106</v>
      </c>
      <c r="B145" s="9">
        <v>85620</v>
      </c>
      <c r="C145" s="9">
        <v>36350</v>
      </c>
      <c r="D145" s="9">
        <v>2350</v>
      </c>
      <c r="E145" s="9">
        <v>124</v>
      </c>
      <c r="F145" s="9">
        <v>441</v>
      </c>
      <c r="G145" s="9">
        <v>58</v>
      </c>
      <c r="H145" s="9">
        <v>607</v>
      </c>
      <c r="I145" s="9">
        <v>4325</v>
      </c>
      <c r="J145" s="9">
        <v>827</v>
      </c>
      <c r="K145" s="9">
        <v>2009</v>
      </c>
      <c r="L145" s="9">
        <v>82</v>
      </c>
      <c r="M145" s="9">
        <v>52</v>
      </c>
      <c r="N145" s="9">
        <v>47173</v>
      </c>
      <c r="O145" s="9">
        <v>40141.5</v>
      </c>
      <c r="P145" s="47">
        <v>-8.1751732563773091E-2</v>
      </c>
      <c r="Q145" s="120">
        <v>-8.3602257072222533E-2</v>
      </c>
    </row>
    <row r="146" spans="1:17" ht="12.75" customHeight="1" x14ac:dyDescent="0.3">
      <c r="A146" s="5" t="s">
        <v>23</v>
      </c>
      <c r="B146" s="9">
        <f t="shared" ref="B146:J146" si="57">B144-B145</f>
        <v>-6345</v>
      </c>
      <c r="C146" s="9">
        <f t="shared" si="57"/>
        <v>-1648</v>
      </c>
      <c r="D146" s="9">
        <f t="shared" si="57"/>
        <v>-523</v>
      </c>
      <c r="E146" s="9">
        <f t="shared" si="57"/>
        <v>3</v>
      </c>
      <c r="F146" s="9">
        <f t="shared" si="57"/>
        <v>-5</v>
      </c>
      <c r="G146" s="9">
        <f t="shared" si="57"/>
        <v>21</v>
      </c>
      <c r="H146" s="9">
        <f t="shared" si="57"/>
        <v>-8</v>
      </c>
      <c r="I146" s="9">
        <f t="shared" si="57"/>
        <v>-463</v>
      </c>
      <c r="J146" s="9">
        <f t="shared" si="57"/>
        <v>190</v>
      </c>
      <c r="K146" s="9"/>
      <c r="L146" s="9">
        <f>L144-L145</f>
        <v>-18</v>
      </c>
      <c r="M146" s="30">
        <f>M144-M145</f>
        <v>85</v>
      </c>
      <c r="N146" s="9">
        <f>N144-N145</f>
        <v>-2466</v>
      </c>
      <c r="O146" s="9">
        <f>O144-O145</f>
        <v>-6745</v>
      </c>
      <c r="P146" s="48"/>
      <c r="Q146" s="155"/>
    </row>
    <row r="148" spans="1:17" ht="12.75" customHeight="1" x14ac:dyDescent="0.25">
      <c r="B148" s="332"/>
      <c r="C148" s="333"/>
      <c r="D148" s="333"/>
      <c r="E148" s="333"/>
      <c r="F148" s="333"/>
      <c r="G148" s="333"/>
      <c r="H148" s="333"/>
      <c r="I148" s="333"/>
      <c r="J148" s="334"/>
    </row>
    <row r="149" spans="1:17" ht="18" x14ac:dyDescent="0.25">
      <c r="B149" s="25"/>
      <c r="C149" s="3" t="s">
        <v>159</v>
      </c>
      <c r="G149" s="335" t="s">
        <v>158</v>
      </c>
      <c r="J149" s="337"/>
    </row>
    <row r="150" spans="1:17" ht="12.75" customHeight="1" x14ac:dyDescent="0.25">
      <c r="B150" s="86"/>
      <c r="C150" s="4"/>
      <c r="D150" s="4"/>
      <c r="E150" s="4"/>
      <c r="F150" s="4"/>
      <c r="G150" s="4"/>
      <c r="H150" s="4"/>
      <c r="I150" s="4"/>
      <c r="J150" s="97"/>
    </row>
    <row r="152" spans="1:17" ht="12.75" customHeight="1" x14ac:dyDescent="0.3">
      <c r="A152" s="1" t="s">
        <v>0</v>
      </c>
      <c r="B152" s="2" t="s">
        <v>1</v>
      </c>
      <c r="C152" s="2" t="s">
        <v>2</v>
      </c>
      <c r="D152" s="2" t="s">
        <v>3</v>
      </c>
      <c r="E152" s="2" t="s">
        <v>4</v>
      </c>
      <c r="F152" s="2" t="s">
        <v>5</v>
      </c>
      <c r="G152" s="2" t="s">
        <v>49</v>
      </c>
      <c r="H152" s="2" t="s">
        <v>46</v>
      </c>
      <c r="I152" s="2" t="s">
        <v>48</v>
      </c>
      <c r="J152" s="2" t="s">
        <v>47</v>
      </c>
      <c r="K152" s="2" t="s">
        <v>52</v>
      </c>
      <c r="L152" s="2" t="s">
        <v>6</v>
      </c>
      <c r="M152" s="32" t="s">
        <v>44</v>
      </c>
      <c r="N152" s="1" t="s">
        <v>8</v>
      </c>
      <c r="O152" s="73" t="s">
        <v>10</v>
      </c>
    </row>
    <row r="153" spans="1:17" ht="12.75" customHeight="1" x14ac:dyDescent="0.3">
      <c r="A153" t="s">
        <v>11</v>
      </c>
      <c r="B153" s="10">
        <v>887</v>
      </c>
      <c r="C153" s="10">
        <v>533</v>
      </c>
      <c r="D153" s="10">
        <v>21</v>
      </c>
      <c r="E153" s="10">
        <v>0</v>
      </c>
      <c r="F153" s="10">
        <v>5</v>
      </c>
      <c r="G153" s="10">
        <v>0</v>
      </c>
      <c r="H153" s="10">
        <v>1</v>
      </c>
      <c r="I153" s="10">
        <v>0</v>
      </c>
      <c r="J153" s="10">
        <v>0</v>
      </c>
      <c r="K153" s="10">
        <v>23</v>
      </c>
      <c r="L153" s="10">
        <v>19</v>
      </c>
      <c r="M153" s="31">
        <v>0</v>
      </c>
      <c r="N153" s="10">
        <f>SUM(C153:L153)</f>
        <v>602</v>
      </c>
      <c r="O153" s="80">
        <v>363</v>
      </c>
    </row>
    <row r="154" spans="1:17" ht="12.75" customHeight="1" x14ac:dyDescent="0.3">
      <c r="A154" t="s">
        <v>12</v>
      </c>
      <c r="B154" s="10">
        <v>743</v>
      </c>
      <c r="C154" s="10">
        <v>466</v>
      </c>
      <c r="D154" s="10">
        <v>29</v>
      </c>
      <c r="E154" s="10">
        <v>0</v>
      </c>
      <c r="F154" s="10">
        <v>6</v>
      </c>
      <c r="G154" s="10">
        <v>0</v>
      </c>
      <c r="H154" s="10">
        <v>0</v>
      </c>
      <c r="I154" s="10">
        <v>0</v>
      </c>
      <c r="J154" s="10">
        <v>0</v>
      </c>
      <c r="K154" s="10">
        <v>21</v>
      </c>
      <c r="L154" s="10">
        <v>0</v>
      </c>
      <c r="M154" s="31">
        <v>0</v>
      </c>
      <c r="N154" s="10">
        <f>SUM(C154:L154)</f>
        <v>522</v>
      </c>
      <c r="O154" s="80">
        <v>556</v>
      </c>
    </row>
    <row r="155" spans="1:17" ht="12.75" customHeight="1" x14ac:dyDescent="0.3">
      <c r="A155" t="s">
        <v>13</v>
      </c>
      <c r="B155" s="10">
        <v>976</v>
      </c>
      <c r="C155" s="10">
        <v>602</v>
      </c>
      <c r="D155" s="10">
        <v>23</v>
      </c>
      <c r="E155" s="10">
        <v>0</v>
      </c>
      <c r="F155" s="10">
        <v>6</v>
      </c>
      <c r="G155" s="10">
        <v>0</v>
      </c>
      <c r="H155" s="10">
        <v>2</v>
      </c>
      <c r="I155" s="10">
        <v>0</v>
      </c>
      <c r="J155" s="10">
        <v>0</v>
      </c>
      <c r="K155" s="10">
        <v>37</v>
      </c>
      <c r="L155" s="10">
        <v>0</v>
      </c>
      <c r="M155" s="31">
        <v>0</v>
      </c>
      <c r="N155" s="10">
        <f>SUM(C155:L155)</f>
        <v>670</v>
      </c>
      <c r="O155" s="80">
        <v>462.5</v>
      </c>
    </row>
    <row r="156" spans="1:17" ht="12.75" customHeight="1" x14ac:dyDescent="0.3">
      <c r="A156" t="s">
        <v>14</v>
      </c>
      <c r="B156" s="16">
        <f>307+1033</f>
        <v>1340</v>
      </c>
      <c r="C156" s="16">
        <f>193+514</f>
        <v>707</v>
      </c>
      <c r="D156" s="329">
        <v>9</v>
      </c>
      <c r="E156" s="16">
        <v>28</v>
      </c>
      <c r="F156" s="329">
        <v>5</v>
      </c>
      <c r="G156" s="16">
        <v>0</v>
      </c>
      <c r="H156" s="16">
        <v>2</v>
      </c>
      <c r="I156" s="16">
        <v>0</v>
      </c>
      <c r="J156" s="329">
        <v>5</v>
      </c>
      <c r="K156" s="329">
        <f>17+35</f>
        <v>52</v>
      </c>
      <c r="L156" s="329">
        <v>5</v>
      </c>
      <c r="M156" s="31">
        <v>0</v>
      </c>
      <c r="N156" s="10">
        <f>SUM(C156:M156)</f>
        <v>813</v>
      </c>
      <c r="O156" s="80">
        <f>231+295</f>
        <v>526</v>
      </c>
      <c r="Q156" t="s">
        <v>160</v>
      </c>
    </row>
    <row r="157" spans="1:17" ht="12.75" customHeight="1" x14ac:dyDescent="0.3">
      <c r="A157" t="s">
        <v>15</v>
      </c>
      <c r="B157" s="10">
        <v>2200</v>
      </c>
      <c r="C157" s="10">
        <v>1130</v>
      </c>
      <c r="D157" s="10">
        <v>52</v>
      </c>
      <c r="E157" s="10">
        <v>1</v>
      </c>
      <c r="F157" s="10">
        <v>6</v>
      </c>
      <c r="G157" s="10">
        <v>3</v>
      </c>
      <c r="H157" s="10">
        <v>21</v>
      </c>
      <c r="I157" s="10">
        <v>74</v>
      </c>
      <c r="J157" s="10">
        <v>2</v>
      </c>
      <c r="K157" s="10">
        <v>113</v>
      </c>
      <c r="L157" s="10">
        <v>2</v>
      </c>
      <c r="M157" s="31">
        <v>0</v>
      </c>
      <c r="N157" s="10">
        <f>SUM(C157:L157)</f>
        <v>1404</v>
      </c>
      <c r="O157" s="80">
        <v>879</v>
      </c>
    </row>
    <row r="158" spans="1:17" ht="12.75" customHeight="1" x14ac:dyDescent="0.3">
      <c r="A158" t="s">
        <v>16</v>
      </c>
      <c r="B158" s="10">
        <f>1514+1502</f>
        <v>3016</v>
      </c>
      <c r="C158" s="10">
        <f>693+474</f>
        <v>1167</v>
      </c>
      <c r="D158" s="10">
        <f>33+10</f>
        <v>43</v>
      </c>
      <c r="E158" s="10">
        <f>2+2</f>
        <v>4</v>
      </c>
      <c r="F158" s="10">
        <f>5+3</f>
        <v>8</v>
      </c>
      <c r="G158" s="10">
        <f>5+2</f>
        <v>7</v>
      </c>
      <c r="H158" s="10">
        <f>14+22</f>
        <v>36</v>
      </c>
      <c r="I158" s="10">
        <f>99+170</f>
        <v>269</v>
      </c>
      <c r="J158" s="10">
        <f>57+11</f>
        <v>68</v>
      </c>
      <c r="K158" s="10">
        <f>48+21</f>
        <v>69</v>
      </c>
      <c r="L158" s="10">
        <v>1</v>
      </c>
      <c r="M158" s="31">
        <v>0</v>
      </c>
      <c r="N158" s="10">
        <f>SUM(C158:L158)</f>
        <v>1672</v>
      </c>
      <c r="O158" s="80">
        <f>956+716</f>
        <v>1672</v>
      </c>
      <c r="Q158" t="s">
        <v>161</v>
      </c>
    </row>
    <row r="159" spans="1:17" ht="12.75" customHeight="1" x14ac:dyDescent="0.3">
      <c r="A159" t="s">
        <v>17</v>
      </c>
      <c r="B159" s="10">
        <v>3630</v>
      </c>
      <c r="C159" s="10">
        <v>1179</v>
      </c>
      <c r="D159" s="10">
        <v>31</v>
      </c>
      <c r="E159" s="10">
        <v>2</v>
      </c>
      <c r="F159" s="10">
        <v>1</v>
      </c>
      <c r="G159" s="10">
        <v>9</v>
      </c>
      <c r="H159" s="10">
        <v>47</v>
      </c>
      <c r="I159" s="10">
        <v>621</v>
      </c>
      <c r="J159" s="10">
        <v>100</v>
      </c>
      <c r="K159" s="10">
        <v>38</v>
      </c>
      <c r="L159" s="10">
        <v>0</v>
      </c>
      <c r="M159" s="31">
        <v>0</v>
      </c>
      <c r="N159" s="10">
        <f>SUM(C159:L159)</f>
        <v>2028</v>
      </c>
      <c r="O159" s="80">
        <v>522</v>
      </c>
    </row>
    <row r="160" spans="1:17" ht="12.75" customHeight="1" x14ac:dyDescent="0.3">
      <c r="A160" t="s">
        <v>18</v>
      </c>
      <c r="B160" s="10">
        <v>1510</v>
      </c>
      <c r="C160" s="10">
        <v>706</v>
      </c>
      <c r="D160" s="10">
        <v>41</v>
      </c>
      <c r="E160" s="10">
        <v>1</v>
      </c>
      <c r="F160" s="10">
        <v>1</v>
      </c>
      <c r="G160" s="10">
        <v>5</v>
      </c>
      <c r="H160" s="10">
        <v>14</v>
      </c>
      <c r="I160" s="10">
        <v>70</v>
      </c>
      <c r="J160" s="10">
        <v>50</v>
      </c>
      <c r="K160" s="10">
        <v>38</v>
      </c>
      <c r="L160" s="10">
        <v>7</v>
      </c>
      <c r="M160" s="31">
        <v>0</v>
      </c>
      <c r="N160" s="10">
        <f>SUM(C160:L160)</f>
        <v>933</v>
      </c>
      <c r="O160" s="80">
        <v>684</v>
      </c>
    </row>
    <row r="161" spans="1:20" ht="12.75" customHeight="1" x14ac:dyDescent="0.3">
      <c r="A161" t="s">
        <v>19</v>
      </c>
      <c r="B161" s="10">
        <v>0</v>
      </c>
      <c r="C161" s="10">
        <v>0</v>
      </c>
      <c r="D161" s="10">
        <v>0</v>
      </c>
      <c r="E161" s="10">
        <v>0</v>
      </c>
      <c r="F161" s="10">
        <v>0</v>
      </c>
      <c r="G161" s="10">
        <v>0</v>
      </c>
      <c r="H161" s="10">
        <v>0</v>
      </c>
      <c r="I161" s="10">
        <v>0</v>
      </c>
      <c r="J161" s="10">
        <v>0</v>
      </c>
      <c r="K161" s="10">
        <v>0</v>
      </c>
      <c r="L161" s="10">
        <v>0</v>
      </c>
      <c r="M161" s="31">
        <v>0</v>
      </c>
      <c r="N161" s="10">
        <f>SUM(C161:L161)</f>
        <v>0</v>
      </c>
      <c r="O161" s="80">
        <v>0</v>
      </c>
    </row>
    <row r="162" spans="1:20" ht="12.75" customHeight="1" x14ac:dyDescent="0.3">
      <c r="A162" t="s">
        <v>20</v>
      </c>
      <c r="B162" s="10"/>
      <c r="C162" s="10"/>
      <c r="D162" s="10"/>
      <c r="E162" s="10"/>
      <c r="F162" s="10"/>
      <c r="G162" s="10"/>
      <c r="H162" s="10"/>
      <c r="I162" s="10"/>
      <c r="J162" s="10"/>
      <c r="K162" s="16"/>
      <c r="L162" s="10"/>
      <c r="M162" s="31"/>
      <c r="N162" s="10">
        <f>SUM(C162:M162)</f>
        <v>0</v>
      </c>
      <c r="O162" s="80"/>
      <c r="Q162" s="338" t="s">
        <v>162</v>
      </c>
      <c r="R162" s="327"/>
      <c r="S162" s="327"/>
      <c r="T162" s="327"/>
    </row>
    <row r="163" spans="1:20" ht="12.75" customHeight="1" x14ac:dyDescent="0.3">
      <c r="A163" t="s">
        <v>21</v>
      </c>
      <c r="B163" s="10"/>
      <c r="C163" s="10"/>
      <c r="D163" s="10"/>
      <c r="E163" s="10"/>
      <c r="F163" s="10"/>
      <c r="G163" s="10"/>
      <c r="H163" s="10"/>
      <c r="I163" s="10"/>
      <c r="J163" s="10"/>
      <c r="K163" s="10"/>
      <c r="L163" s="10"/>
      <c r="M163" s="31"/>
      <c r="N163" s="10">
        <f>SUM(C163:L163)</f>
        <v>0</v>
      </c>
      <c r="O163" s="80"/>
    </row>
    <row r="164" spans="1:20" ht="12.75" customHeight="1" x14ac:dyDescent="0.3">
      <c r="A164" s="4" t="s">
        <v>22</v>
      </c>
      <c r="B164" s="11"/>
      <c r="C164" s="11"/>
      <c r="D164" s="11"/>
      <c r="E164" s="11"/>
      <c r="F164" s="11"/>
      <c r="G164" s="15"/>
      <c r="H164" s="15"/>
      <c r="I164" s="15"/>
      <c r="J164" s="15"/>
      <c r="K164" s="15"/>
      <c r="L164" s="11"/>
      <c r="M164" s="30"/>
      <c r="N164" s="11">
        <f>SUM(C164:L164)</f>
        <v>0</v>
      </c>
      <c r="O164" s="81"/>
    </row>
    <row r="167" spans="1:20" ht="18" x14ac:dyDescent="0.25">
      <c r="C167" s="3" t="s">
        <v>163</v>
      </c>
      <c r="G167" s="335" t="s">
        <v>158</v>
      </c>
    </row>
    <row r="170" spans="1:20" ht="12.75" customHeight="1" x14ac:dyDescent="0.3">
      <c r="A170" s="1" t="s">
        <v>0</v>
      </c>
      <c r="B170" s="2" t="s">
        <v>1</v>
      </c>
      <c r="C170" s="2" t="s">
        <v>2</v>
      </c>
      <c r="D170" s="2" t="s">
        <v>3</v>
      </c>
      <c r="E170" s="2" t="s">
        <v>4</v>
      </c>
      <c r="F170" s="2" t="s">
        <v>5</v>
      </c>
      <c r="G170" s="2" t="s">
        <v>49</v>
      </c>
      <c r="H170" s="2" t="s">
        <v>46</v>
      </c>
      <c r="I170" s="2" t="s">
        <v>48</v>
      </c>
      <c r="J170" s="2" t="s">
        <v>47</v>
      </c>
      <c r="K170" s="2" t="s">
        <v>52</v>
      </c>
      <c r="L170" s="2" t="s">
        <v>6</v>
      </c>
      <c r="M170" s="32" t="s">
        <v>44</v>
      </c>
      <c r="N170" s="1" t="s">
        <v>8</v>
      </c>
      <c r="O170" s="73" t="s">
        <v>10</v>
      </c>
    </row>
    <row r="171" spans="1:20" ht="12.75" customHeight="1" x14ac:dyDescent="0.3">
      <c r="A171" t="s">
        <v>11</v>
      </c>
      <c r="B171" s="10">
        <v>3075</v>
      </c>
      <c r="C171" s="10">
        <v>1681</v>
      </c>
      <c r="D171" s="10">
        <v>95</v>
      </c>
      <c r="E171" s="10">
        <v>1</v>
      </c>
      <c r="F171" s="10">
        <v>46</v>
      </c>
      <c r="G171" s="10">
        <v>0</v>
      </c>
      <c r="H171" s="10">
        <v>5</v>
      </c>
      <c r="I171" s="10">
        <v>0</v>
      </c>
      <c r="J171" s="10">
        <v>14</v>
      </c>
      <c r="K171" s="10">
        <v>80</v>
      </c>
      <c r="L171" s="10">
        <v>2</v>
      </c>
      <c r="M171" s="31">
        <v>1</v>
      </c>
      <c r="N171" s="10">
        <f>SUM(C171:L171)</f>
        <v>1924</v>
      </c>
      <c r="O171" s="80">
        <v>1904</v>
      </c>
    </row>
    <row r="172" spans="1:20" ht="12.75" customHeight="1" x14ac:dyDescent="0.3">
      <c r="A172" t="s">
        <v>12</v>
      </c>
      <c r="B172" s="10">
        <v>2924</v>
      </c>
      <c r="C172" s="10">
        <v>1528</v>
      </c>
      <c r="D172" s="10">
        <v>98</v>
      </c>
      <c r="E172" s="10">
        <v>0</v>
      </c>
      <c r="F172" s="10">
        <v>31</v>
      </c>
      <c r="G172" s="10">
        <v>0</v>
      </c>
      <c r="H172" s="10">
        <v>0</v>
      </c>
      <c r="I172" s="10">
        <v>0</v>
      </c>
      <c r="J172" s="10">
        <v>0</v>
      </c>
      <c r="K172" s="10">
        <v>83</v>
      </c>
      <c r="L172" s="10">
        <v>1</v>
      </c>
      <c r="M172" s="31">
        <v>0</v>
      </c>
      <c r="N172" s="10">
        <f>SUM(C172:L172)</f>
        <v>1741</v>
      </c>
      <c r="O172" s="80">
        <v>1710</v>
      </c>
    </row>
    <row r="173" spans="1:20" ht="12.75" customHeight="1" x14ac:dyDescent="0.3">
      <c r="A173" t="s">
        <v>13</v>
      </c>
      <c r="B173" s="10">
        <v>3300</v>
      </c>
      <c r="C173" s="10">
        <v>1767</v>
      </c>
      <c r="D173" s="10">
        <v>105</v>
      </c>
      <c r="E173" s="10">
        <v>0</v>
      </c>
      <c r="F173" s="10">
        <v>32</v>
      </c>
      <c r="G173" s="10">
        <v>0</v>
      </c>
      <c r="H173" s="10">
        <v>1</v>
      </c>
      <c r="I173" s="10">
        <v>0</v>
      </c>
      <c r="J173" s="10">
        <v>3</v>
      </c>
      <c r="K173" s="10">
        <v>95</v>
      </c>
      <c r="L173" s="10">
        <v>2</v>
      </c>
      <c r="M173" s="31">
        <v>0</v>
      </c>
      <c r="N173" s="10">
        <f>SUM(C173:L173)</f>
        <v>2005</v>
      </c>
      <c r="O173" s="80">
        <v>1904</v>
      </c>
    </row>
    <row r="174" spans="1:20" ht="12.75" customHeight="1" x14ac:dyDescent="0.3">
      <c r="A174" t="s">
        <v>14</v>
      </c>
      <c r="B174" s="16">
        <v>4527</v>
      </c>
      <c r="C174" s="16">
        <v>2269</v>
      </c>
      <c r="D174" s="16">
        <v>136</v>
      </c>
      <c r="E174" s="16">
        <v>2</v>
      </c>
      <c r="F174" s="16">
        <v>49</v>
      </c>
      <c r="G174" s="16">
        <v>5</v>
      </c>
      <c r="H174" s="16">
        <v>8</v>
      </c>
      <c r="I174" s="16">
        <v>2</v>
      </c>
      <c r="J174" s="16">
        <v>10</v>
      </c>
      <c r="K174" s="16">
        <v>162</v>
      </c>
      <c r="L174" s="16">
        <v>3</v>
      </c>
      <c r="M174" s="31">
        <v>0</v>
      </c>
      <c r="N174" s="10">
        <f>SUM(C174:L174)</f>
        <v>2646</v>
      </c>
      <c r="O174" s="80">
        <v>2775</v>
      </c>
    </row>
    <row r="175" spans="1:20" ht="12.75" customHeight="1" x14ac:dyDescent="0.3">
      <c r="A175" t="s">
        <v>15</v>
      </c>
      <c r="B175" s="10">
        <v>5585</v>
      </c>
      <c r="C175" s="10">
        <v>2432</v>
      </c>
      <c r="D175" s="10">
        <v>160</v>
      </c>
      <c r="E175" s="10">
        <v>18</v>
      </c>
      <c r="F175" s="10">
        <v>43</v>
      </c>
      <c r="G175" s="10">
        <v>3</v>
      </c>
      <c r="H175" s="10">
        <v>37</v>
      </c>
      <c r="I175" s="10">
        <v>91</v>
      </c>
      <c r="J175" s="10">
        <v>21</v>
      </c>
      <c r="K175" s="10">
        <v>183</v>
      </c>
      <c r="L175" s="10">
        <v>6</v>
      </c>
      <c r="M175" s="31">
        <v>0</v>
      </c>
      <c r="N175" s="10">
        <f t="shared" ref="N175:N182" si="58">SUM(C175:L175)</f>
        <v>2994</v>
      </c>
      <c r="O175" s="80">
        <v>3131</v>
      </c>
    </row>
    <row r="176" spans="1:20" ht="12.75" customHeight="1" x14ac:dyDescent="0.3">
      <c r="A176" t="s">
        <v>16</v>
      </c>
      <c r="B176" s="10">
        <v>8179</v>
      </c>
      <c r="C176" s="10">
        <v>2840</v>
      </c>
      <c r="D176" s="10">
        <v>149</v>
      </c>
      <c r="E176" s="10">
        <v>15</v>
      </c>
      <c r="F176" s="10">
        <v>26</v>
      </c>
      <c r="G176" s="10">
        <v>10</v>
      </c>
      <c r="H176" s="10">
        <v>101</v>
      </c>
      <c r="I176" s="10">
        <v>458</v>
      </c>
      <c r="J176" s="10">
        <v>171</v>
      </c>
      <c r="K176" s="10">
        <v>164</v>
      </c>
      <c r="L176" s="10">
        <v>0</v>
      </c>
      <c r="M176" s="31">
        <v>0</v>
      </c>
      <c r="N176" s="10">
        <f t="shared" si="58"/>
        <v>3934</v>
      </c>
      <c r="O176" s="80">
        <v>2919</v>
      </c>
    </row>
    <row r="177" spans="1:17" ht="12.75" customHeight="1" x14ac:dyDescent="0.3">
      <c r="A177" t="s">
        <v>17</v>
      </c>
      <c r="B177" s="10">
        <v>11882</v>
      </c>
      <c r="C177" s="10">
        <v>3510</v>
      </c>
      <c r="D177" s="10">
        <v>153</v>
      </c>
      <c r="E177" s="10">
        <v>22</v>
      </c>
      <c r="F177" s="10">
        <v>14</v>
      </c>
      <c r="G177" s="10">
        <v>23</v>
      </c>
      <c r="H177" s="10">
        <v>157</v>
      </c>
      <c r="I177" s="10">
        <v>1486</v>
      </c>
      <c r="J177" s="10">
        <v>393</v>
      </c>
      <c r="K177" s="10">
        <v>138</v>
      </c>
      <c r="L177" s="10">
        <v>1</v>
      </c>
      <c r="M177" s="31">
        <v>23</v>
      </c>
      <c r="N177" s="10">
        <f t="shared" si="58"/>
        <v>5897</v>
      </c>
      <c r="O177" s="80">
        <v>2846</v>
      </c>
    </row>
    <row r="178" spans="1:17" ht="12.75" customHeight="1" x14ac:dyDescent="0.3">
      <c r="A178" t="s">
        <v>18</v>
      </c>
      <c r="B178" s="10">
        <v>8650</v>
      </c>
      <c r="C178" s="10">
        <v>2906</v>
      </c>
      <c r="D178" s="10">
        <v>161</v>
      </c>
      <c r="E178" s="10">
        <v>27</v>
      </c>
      <c r="F178" s="10">
        <v>17</v>
      </c>
      <c r="G178" s="10">
        <v>8</v>
      </c>
      <c r="H178" s="10">
        <v>129</v>
      </c>
      <c r="I178" s="10">
        <v>773</v>
      </c>
      <c r="J178" s="10">
        <v>169</v>
      </c>
      <c r="K178" s="10">
        <v>128</v>
      </c>
      <c r="L178" s="10">
        <v>2</v>
      </c>
      <c r="M178" s="31">
        <v>11</v>
      </c>
      <c r="N178" s="10">
        <f t="shared" si="58"/>
        <v>4320</v>
      </c>
      <c r="O178" s="80">
        <v>3305</v>
      </c>
    </row>
    <row r="179" spans="1:17" ht="12.75" customHeight="1" x14ac:dyDescent="0.3">
      <c r="A179" t="s">
        <v>19</v>
      </c>
      <c r="B179" s="10">
        <v>3012</v>
      </c>
      <c r="C179" s="10">
        <v>1279</v>
      </c>
      <c r="D179" s="10">
        <v>78</v>
      </c>
      <c r="E179" s="10">
        <v>6</v>
      </c>
      <c r="F179" s="10">
        <v>28</v>
      </c>
      <c r="G179" s="10">
        <v>2</v>
      </c>
      <c r="H179" s="10">
        <v>10</v>
      </c>
      <c r="I179" s="10">
        <v>14</v>
      </c>
      <c r="J179" s="10">
        <v>6</v>
      </c>
      <c r="K179" s="10">
        <v>68</v>
      </c>
      <c r="L179" s="10">
        <v>1</v>
      </c>
      <c r="M179" s="31">
        <v>102</v>
      </c>
      <c r="N179" s="10">
        <f>SUM(C179:L179)</f>
        <v>1492</v>
      </c>
      <c r="O179" s="80">
        <v>804</v>
      </c>
    </row>
    <row r="180" spans="1:17" ht="12.75" customHeight="1" x14ac:dyDescent="0.3">
      <c r="A180" t="s">
        <v>20</v>
      </c>
      <c r="B180" s="10">
        <v>5413</v>
      </c>
      <c r="C180" s="10">
        <v>3030</v>
      </c>
      <c r="D180" s="10">
        <v>173</v>
      </c>
      <c r="E180" s="10">
        <v>0</v>
      </c>
      <c r="F180" s="10">
        <v>48</v>
      </c>
      <c r="G180" s="10">
        <v>0</v>
      </c>
      <c r="H180" s="10">
        <v>13</v>
      </c>
      <c r="I180" s="10">
        <v>3</v>
      </c>
      <c r="J180" s="10">
        <v>4</v>
      </c>
      <c r="K180" s="10">
        <v>219</v>
      </c>
      <c r="L180" s="10">
        <v>6</v>
      </c>
      <c r="M180" s="31">
        <v>0</v>
      </c>
      <c r="N180" s="10">
        <f t="shared" si="58"/>
        <v>3496</v>
      </c>
      <c r="O180" s="80">
        <v>2311</v>
      </c>
    </row>
    <row r="181" spans="1:17" ht="12.75" customHeight="1" x14ac:dyDescent="0.3">
      <c r="A181" t="s">
        <v>21</v>
      </c>
      <c r="B181" s="10">
        <v>4233</v>
      </c>
      <c r="C181" s="10">
        <v>2540</v>
      </c>
      <c r="D181" s="10">
        <v>136</v>
      </c>
      <c r="E181" s="10">
        <v>0</v>
      </c>
      <c r="F181" s="10">
        <v>26</v>
      </c>
      <c r="G181" s="10">
        <v>0</v>
      </c>
      <c r="H181" s="10">
        <v>6</v>
      </c>
      <c r="I181" s="10">
        <v>1</v>
      </c>
      <c r="J181" s="10">
        <v>0</v>
      </c>
      <c r="K181" s="10">
        <v>160</v>
      </c>
      <c r="L181" s="10">
        <v>2</v>
      </c>
      <c r="M181" s="31">
        <v>0</v>
      </c>
      <c r="N181" s="10">
        <f t="shared" si="58"/>
        <v>2871</v>
      </c>
      <c r="O181" s="80">
        <v>2041</v>
      </c>
    </row>
    <row r="182" spans="1:17" ht="12.75" customHeight="1" x14ac:dyDescent="0.3">
      <c r="A182" s="4" t="s">
        <v>22</v>
      </c>
      <c r="B182" s="11">
        <v>4193</v>
      </c>
      <c r="C182" s="11">
        <v>2430</v>
      </c>
      <c r="D182" s="11">
        <v>134</v>
      </c>
      <c r="E182" s="11">
        <v>0</v>
      </c>
      <c r="F182" s="11">
        <v>38</v>
      </c>
      <c r="G182" s="15">
        <v>4</v>
      </c>
      <c r="H182" s="15">
        <v>9</v>
      </c>
      <c r="I182" s="15">
        <v>0</v>
      </c>
      <c r="J182" s="15">
        <v>1</v>
      </c>
      <c r="K182" s="15">
        <v>123</v>
      </c>
      <c r="L182" s="11">
        <v>4</v>
      </c>
      <c r="M182" s="30">
        <v>0</v>
      </c>
      <c r="N182" s="11">
        <f t="shared" si="58"/>
        <v>2743</v>
      </c>
      <c r="O182" s="81">
        <v>2082</v>
      </c>
    </row>
    <row r="185" spans="1:17" ht="12.5" x14ac:dyDescent="0.25"/>
    <row r="188" spans="1:17" ht="12.75" customHeight="1" x14ac:dyDescent="0.25">
      <c r="C188" s="3" t="s">
        <v>164</v>
      </c>
      <c r="G188" s="335" t="s">
        <v>165</v>
      </c>
    </row>
    <row r="191" spans="1:17" ht="12.75" customHeight="1" x14ac:dyDescent="0.3">
      <c r="A191" s="1" t="s">
        <v>0</v>
      </c>
      <c r="B191" s="2" t="s">
        <v>1</v>
      </c>
      <c r="C191" s="2" t="s">
        <v>2</v>
      </c>
      <c r="D191" s="2" t="s">
        <v>3</v>
      </c>
      <c r="E191" s="2" t="s">
        <v>4</v>
      </c>
      <c r="F191" s="2" t="s">
        <v>5</v>
      </c>
      <c r="G191" s="2" t="s">
        <v>49</v>
      </c>
      <c r="H191" s="2" t="s">
        <v>46</v>
      </c>
      <c r="I191" s="2" t="s">
        <v>48</v>
      </c>
      <c r="J191" s="2" t="s">
        <v>47</v>
      </c>
      <c r="K191" s="2" t="s">
        <v>52</v>
      </c>
      <c r="L191" s="2" t="s">
        <v>6</v>
      </c>
      <c r="M191" s="32" t="s">
        <v>44</v>
      </c>
      <c r="N191" s="1" t="s">
        <v>8</v>
      </c>
      <c r="O191" s="2" t="s">
        <v>10</v>
      </c>
      <c r="P191" s="2" t="s">
        <v>1</v>
      </c>
      <c r="Q191" s="2" t="s">
        <v>9</v>
      </c>
    </row>
    <row r="192" spans="1:17" ht="12.75" customHeight="1" x14ac:dyDescent="0.25">
      <c r="A192" s="334" t="s">
        <v>11</v>
      </c>
      <c r="B192" s="10"/>
      <c r="C192" s="10"/>
      <c r="D192" s="10"/>
      <c r="E192" s="10"/>
      <c r="F192" s="10"/>
      <c r="G192" s="10"/>
      <c r="H192" s="10"/>
      <c r="I192" s="10"/>
      <c r="J192" s="10"/>
      <c r="K192" s="10"/>
      <c r="L192" s="10"/>
      <c r="M192" s="10"/>
      <c r="N192" s="10"/>
      <c r="O192" s="198"/>
      <c r="P192" s="285"/>
      <c r="Q192" s="286">
        <f t="shared" ref="Q192:Q203" si="59">Q214+Q234</f>
        <v>0</v>
      </c>
    </row>
    <row r="193" spans="1:17" ht="12.75" customHeight="1" x14ac:dyDescent="0.25">
      <c r="A193" s="337" t="s">
        <v>12</v>
      </c>
      <c r="B193" s="10"/>
      <c r="C193" s="10"/>
      <c r="D193" s="10"/>
      <c r="E193" s="10"/>
      <c r="F193" s="10"/>
      <c r="G193" s="10"/>
      <c r="H193" s="10"/>
      <c r="I193" s="10"/>
      <c r="J193" s="10"/>
      <c r="K193" s="10"/>
      <c r="L193" s="10"/>
      <c r="M193" s="10"/>
      <c r="N193" s="10"/>
      <c r="O193" s="80"/>
      <c r="P193" s="285"/>
      <c r="Q193" s="287">
        <f t="shared" si="59"/>
        <v>0</v>
      </c>
    </row>
    <row r="194" spans="1:17" ht="12.75" customHeight="1" x14ac:dyDescent="0.25">
      <c r="A194" s="337" t="s">
        <v>13</v>
      </c>
      <c r="B194" s="10"/>
      <c r="C194" s="10"/>
      <c r="D194" s="10"/>
      <c r="E194" s="10"/>
      <c r="F194" s="10"/>
      <c r="G194" s="10"/>
      <c r="H194" s="10"/>
      <c r="I194" s="10"/>
      <c r="J194" s="10"/>
      <c r="K194" s="10"/>
      <c r="L194" s="10"/>
      <c r="M194" s="10"/>
      <c r="N194" s="10"/>
      <c r="O194" s="80"/>
      <c r="P194" s="285"/>
      <c r="Q194" s="287">
        <f t="shared" si="59"/>
        <v>0</v>
      </c>
    </row>
    <row r="195" spans="1:17" ht="12.75" customHeight="1" x14ac:dyDescent="0.25">
      <c r="A195" s="337" t="s">
        <v>14</v>
      </c>
      <c r="B195" s="10"/>
      <c r="C195" s="10"/>
      <c r="D195" s="10"/>
      <c r="E195" s="10"/>
      <c r="F195" s="10"/>
      <c r="G195" s="10"/>
      <c r="H195" s="10"/>
      <c r="I195" s="10"/>
      <c r="J195" s="10"/>
      <c r="K195" s="10"/>
      <c r="L195" s="10"/>
      <c r="M195" s="10"/>
      <c r="N195" s="10"/>
      <c r="O195" s="80"/>
      <c r="P195" s="285"/>
      <c r="Q195" s="287">
        <f t="shared" si="59"/>
        <v>0</v>
      </c>
    </row>
    <row r="196" spans="1:17" ht="12.75" customHeight="1" x14ac:dyDescent="0.25">
      <c r="A196" s="337" t="s">
        <v>15</v>
      </c>
      <c r="B196" s="10"/>
      <c r="C196" s="10"/>
      <c r="D196" s="10"/>
      <c r="E196" s="10"/>
      <c r="F196" s="10"/>
      <c r="G196" s="10"/>
      <c r="H196" s="10"/>
      <c r="I196" s="10"/>
      <c r="J196" s="10"/>
      <c r="K196" s="10"/>
      <c r="L196" s="10"/>
      <c r="M196" s="10"/>
      <c r="N196" s="10"/>
      <c r="O196" s="80"/>
      <c r="P196" s="285"/>
      <c r="Q196" s="287">
        <f t="shared" si="59"/>
        <v>0</v>
      </c>
    </row>
    <row r="197" spans="1:17" ht="12.75" customHeight="1" x14ac:dyDescent="0.25">
      <c r="A197" s="337" t="s">
        <v>16</v>
      </c>
      <c r="B197" s="10"/>
      <c r="C197" s="10"/>
      <c r="D197" s="10"/>
      <c r="E197" s="10"/>
      <c r="F197" s="10"/>
      <c r="G197" s="10"/>
      <c r="H197" s="10"/>
      <c r="I197" s="10"/>
      <c r="J197" s="10"/>
      <c r="K197" s="10"/>
      <c r="L197" s="10"/>
      <c r="M197" s="10"/>
      <c r="N197" s="10"/>
      <c r="O197" s="80"/>
      <c r="P197" s="285"/>
      <c r="Q197" s="287">
        <f t="shared" si="59"/>
        <v>0</v>
      </c>
    </row>
    <row r="198" spans="1:17" ht="12.75" customHeight="1" x14ac:dyDescent="0.25">
      <c r="A198" s="337" t="s">
        <v>17</v>
      </c>
      <c r="B198" s="10"/>
      <c r="C198" s="10"/>
      <c r="D198" s="10"/>
      <c r="E198" s="10"/>
      <c r="F198" s="10"/>
      <c r="G198" s="10"/>
      <c r="H198" s="10"/>
      <c r="I198" s="10"/>
      <c r="J198" s="10"/>
      <c r="K198" s="10"/>
      <c r="L198" s="10"/>
      <c r="M198" s="10"/>
      <c r="N198" s="10"/>
      <c r="O198" s="80"/>
      <c r="P198" s="285"/>
      <c r="Q198" s="287">
        <f t="shared" si="59"/>
        <v>0</v>
      </c>
    </row>
    <row r="199" spans="1:17" ht="12.75" customHeight="1" x14ac:dyDescent="0.25">
      <c r="A199" s="337" t="s">
        <v>18</v>
      </c>
      <c r="B199" s="10"/>
      <c r="C199" s="10"/>
      <c r="D199" s="10"/>
      <c r="E199" s="10"/>
      <c r="F199" s="10"/>
      <c r="G199" s="10"/>
      <c r="H199" s="10"/>
      <c r="I199" s="10"/>
      <c r="J199" s="10"/>
      <c r="K199" s="10"/>
      <c r="L199" s="10"/>
      <c r="M199" s="10"/>
      <c r="N199" s="10"/>
      <c r="O199" s="80"/>
      <c r="P199" s="285"/>
      <c r="Q199" s="287"/>
    </row>
    <row r="200" spans="1:17" ht="12.75" customHeight="1" x14ac:dyDescent="0.25">
      <c r="A200" s="337" t="s">
        <v>19</v>
      </c>
      <c r="B200" s="10"/>
      <c r="C200" s="10"/>
      <c r="D200" s="10"/>
      <c r="E200" s="10"/>
      <c r="F200" s="10"/>
      <c r="G200" s="10"/>
      <c r="H200" s="10"/>
      <c r="I200" s="10"/>
      <c r="J200" s="10"/>
      <c r="K200" s="10"/>
      <c r="L200" s="10"/>
      <c r="M200" s="10"/>
      <c r="N200" s="10"/>
      <c r="O200" s="80"/>
      <c r="P200" s="285"/>
      <c r="Q200" s="287">
        <f t="shared" si="59"/>
        <v>-8.7094220110847193E-2</v>
      </c>
    </row>
    <row r="201" spans="1:17" ht="12.75" customHeight="1" x14ac:dyDescent="0.25">
      <c r="A201" s="337" t="s">
        <v>20</v>
      </c>
      <c r="B201" s="10"/>
      <c r="C201" s="10"/>
      <c r="D201" s="10"/>
      <c r="E201" s="10"/>
      <c r="F201" s="10"/>
      <c r="G201" s="10"/>
      <c r="H201" s="10"/>
      <c r="I201" s="10"/>
      <c r="J201" s="10"/>
      <c r="K201" s="10"/>
      <c r="L201" s="10"/>
      <c r="M201" s="10"/>
      <c r="N201" s="10"/>
      <c r="O201" s="80"/>
      <c r="P201" s="285"/>
      <c r="Q201" s="287">
        <f t="shared" si="59"/>
        <v>5.9655324790101633E-2</v>
      </c>
    </row>
    <row r="202" spans="1:17" ht="12.75" customHeight="1" x14ac:dyDescent="0.25">
      <c r="A202" s="337" t="s">
        <v>21</v>
      </c>
      <c r="B202" s="10"/>
      <c r="C202" s="10"/>
      <c r="D202" s="10"/>
      <c r="E202" s="10"/>
      <c r="F202" s="10"/>
      <c r="G202" s="10"/>
      <c r="H202" s="10"/>
      <c r="I202" s="10"/>
      <c r="J202" s="10"/>
      <c r="K202" s="10"/>
      <c r="L202" s="10"/>
      <c r="M202" s="10"/>
      <c r="N202" s="10"/>
      <c r="O202" s="80"/>
      <c r="P202" s="285"/>
      <c r="Q202" s="287">
        <f t="shared" si="59"/>
        <v>-0.14766355140186915</v>
      </c>
    </row>
    <row r="203" spans="1:17" ht="12.75" customHeight="1" thickBot="1" x14ac:dyDescent="0.3">
      <c r="A203" s="97" t="s">
        <v>22</v>
      </c>
      <c r="B203" s="10"/>
      <c r="C203" s="10"/>
      <c r="D203" s="10"/>
      <c r="E203" s="10"/>
      <c r="F203" s="10"/>
      <c r="G203" s="10"/>
      <c r="H203" s="10"/>
      <c r="I203" s="10"/>
      <c r="J203" s="10"/>
      <c r="K203" s="10"/>
      <c r="L203" s="10"/>
      <c r="M203" s="10"/>
      <c r="N203" s="10"/>
      <c r="O203" s="81"/>
      <c r="P203" s="383"/>
      <c r="Q203" s="384">
        <f t="shared" si="59"/>
        <v>-0.2662619254119688</v>
      </c>
    </row>
    <row r="204" spans="1:17" ht="12.75" customHeight="1" x14ac:dyDescent="0.3">
      <c r="A204" s="385" t="s">
        <v>137</v>
      </c>
      <c r="B204" s="41">
        <v>79275</v>
      </c>
      <c r="C204" s="41">
        <v>34702</v>
      </c>
      <c r="D204" s="41">
        <v>1827</v>
      </c>
      <c r="E204" s="41">
        <v>127</v>
      </c>
      <c r="F204" s="41">
        <v>436</v>
      </c>
      <c r="G204" s="41">
        <v>79</v>
      </c>
      <c r="H204" s="41">
        <v>599</v>
      </c>
      <c r="I204" s="41">
        <v>3862</v>
      </c>
      <c r="J204" s="41">
        <v>1017</v>
      </c>
      <c r="K204" s="41">
        <v>1994</v>
      </c>
      <c r="L204" s="41">
        <v>64</v>
      </c>
      <c r="M204" s="90">
        <v>137</v>
      </c>
      <c r="N204" s="41">
        <v>44707</v>
      </c>
      <c r="O204" s="41">
        <v>33396.5</v>
      </c>
      <c r="P204" s="201"/>
      <c r="Q204" s="190"/>
    </row>
    <row r="205" spans="1:17" ht="12.75" customHeight="1" x14ac:dyDescent="0.3">
      <c r="A205" s="386" t="s">
        <v>131</v>
      </c>
      <c r="B205" s="9"/>
      <c r="C205" s="9"/>
      <c r="D205" s="9"/>
      <c r="E205" s="9"/>
      <c r="F205" s="9"/>
      <c r="G205" s="9"/>
      <c r="H205" s="9"/>
      <c r="I205" s="9"/>
      <c r="J205" s="9"/>
      <c r="K205" s="9"/>
      <c r="L205" s="9"/>
      <c r="M205" s="9"/>
      <c r="N205" s="9"/>
      <c r="O205" s="9"/>
      <c r="P205" s="47"/>
      <c r="Q205" s="120"/>
    </row>
    <row r="206" spans="1:17" ht="12.75" customHeight="1" x14ac:dyDescent="0.3">
      <c r="A206" s="386" t="s">
        <v>23</v>
      </c>
      <c r="B206" s="9">
        <f t="shared" ref="B206:J206" si="60">B204-B205</f>
        <v>79275</v>
      </c>
      <c r="C206" s="9">
        <f t="shared" si="60"/>
        <v>34702</v>
      </c>
      <c r="D206" s="9">
        <f t="shared" si="60"/>
        <v>1827</v>
      </c>
      <c r="E206" s="9">
        <f t="shared" si="60"/>
        <v>127</v>
      </c>
      <c r="F206" s="9">
        <f t="shared" si="60"/>
        <v>436</v>
      </c>
      <c r="G206" s="9">
        <f t="shared" si="60"/>
        <v>79</v>
      </c>
      <c r="H206" s="9">
        <f t="shared" si="60"/>
        <v>599</v>
      </c>
      <c r="I206" s="9">
        <f t="shared" si="60"/>
        <v>3862</v>
      </c>
      <c r="J206" s="9">
        <f t="shared" si="60"/>
        <v>1017</v>
      </c>
      <c r="K206" s="9"/>
      <c r="L206" s="9">
        <f>L204-L205</f>
        <v>64</v>
      </c>
      <c r="M206" s="30">
        <f>M204-M205</f>
        <v>137</v>
      </c>
      <c r="N206" s="9">
        <f>N204-N205</f>
        <v>44707</v>
      </c>
      <c r="O206" s="9">
        <f>O204-O205</f>
        <v>33396.5</v>
      </c>
      <c r="P206" s="48"/>
      <c r="Q206" s="48"/>
    </row>
    <row r="218" spans="1:24" ht="20" x14ac:dyDescent="0.25">
      <c r="B218" s="3" t="s">
        <v>163</v>
      </c>
      <c r="F218" s="367" t="s">
        <v>165</v>
      </c>
    </row>
    <row r="221" spans="1:24" ht="12.75" customHeight="1" x14ac:dyDescent="0.3">
      <c r="A221" s="1" t="s">
        <v>0</v>
      </c>
      <c r="B221" s="2" t="s">
        <v>1</v>
      </c>
      <c r="C221" s="2" t="s">
        <v>2</v>
      </c>
      <c r="D221" s="2" t="s">
        <v>3</v>
      </c>
      <c r="E221" s="2" t="s">
        <v>4</v>
      </c>
      <c r="F221" s="2" t="s">
        <v>5</v>
      </c>
      <c r="G221" s="2" t="s">
        <v>49</v>
      </c>
      <c r="H221" s="2" t="s">
        <v>46</v>
      </c>
      <c r="I221" s="2" t="s">
        <v>48</v>
      </c>
      <c r="J221" s="2" t="s">
        <v>47</v>
      </c>
      <c r="K221" s="2" t="s">
        <v>52</v>
      </c>
      <c r="L221" s="2" t="s">
        <v>6</v>
      </c>
      <c r="M221" s="32" t="s">
        <v>44</v>
      </c>
      <c r="N221" s="1" t="s">
        <v>8</v>
      </c>
      <c r="O221" s="73" t="s">
        <v>10</v>
      </c>
      <c r="P221" s="2" t="s">
        <v>1</v>
      </c>
      <c r="Q221" s="387" t="s">
        <v>9</v>
      </c>
      <c r="T221" s="3" t="s">
        <v>135</v>
      </c>
      <c r="U221" s="3" t="s">
        <v>136</v>
      </c>
      <c r="W221" s="3" t="s">
        <v>129</v>
      </c>
      <c r="X221" s="3" t="s">
        <v>130</v>
      </c>
    </row>
    <row r="222" spans="1:24" ht="12.75" customHeight="1" x14ac:dyDescent="0.3">
      <c r="A222" t="s">
        <v>11</v>
      </c>
      <c r="B222" s="10">
        <v>3586</v>
      </c>
      <c r="C222" s="10">
        <v>2059</v>
      </c>
      <c r="D222" s="10">
        <v>112</v>
      </c>
      <c r="E222" s="10">
        <v>2</v>
      </c>
      <c r="F222" s="10">
        <v>37</v>
      </c>
      <c r="G222" s="10">
        <v>0</v>
      </c>
      <c r="H222" s="10">
        <v>2</v>
      </c>
      <c r="I222" s="10">
        <v>2</v>
      </c>
      <c r="J222" s="10">
        <v>2</v>
      </c>
      <c r="K222" s="10">
        <v>89</v>
      </c>
      <c r="L222" s="10">
        <v>1</v>
      </c>
      <c r="M222" s="31">
        <v>0</v>
      </c>
      <c r="N222" s="10">
        <f>SUM(C222:L222)</f>
        <v>2306</v>
      </c>
      <c r="O222" s="10">
        <v>1702</v>
      </c>
      <c r="P222" s="340">
        <f>T222/W222</f>
        <v>-9.4901564866229179E-2</v>
      </c>
      <c r="Q222" s="286">
        <f>U222/X222</f>
        <v>-8.7094220110847193E-2</v>
      </c>
      <c r="T222" s="143">
        <f>B222-B132</f>
        <v>-376</v>
      </c>
      <c r="U222" s="143">
        <f>N222-N132</f>
        <v>-220</v>
      </c>
      <c r="W222" s="10">
        <v>3962</v>
      </c>
      <c r="X222" s="10">
        <v>2526</v>
      </c>
    </row>
    <row r="223" spans="1:24" ht="12.75" customHeight="1" x14ac:dyDescent="0.3">
      <c r="A223" t="s">
        <v>12</v>
      </c>
      <c r="B223" s="10">
        <v>3662</v>
      </c>
      <c r="C223" s="10">
        <v>2107</v>
      </c>
      <c r="D223" s="10">
        <v>134</v>
      </c>
      <c r="E223" s="10">
        <v>0</v>
      </c>
      <c r="F223" s="10">
        <v>47</v>
      </c>
      <c r="G223" s="10">
        <v>0</v>
      </c>
      <c r="H223" s="10">
        <v>3</v>
      </c>
      <c r="I223" s="10">
        <v>0</v>
      </c>
      <c r="J223" s="10">
        <v>1</v>
      </c>
      <c r="K223" s="10">
        <v>106</v>
      </c>
      <c r="L223" s="10">
        <v>0</v>
      </c>
      <c r="M223" s="31">
        <v>0</v>
      </c>
      <c r="N223" s="10">
        <f>SUM(C223:L223)</f>
        <v>2398</v>
      </c>
      <c r="O223" s="10">
        <v>2398</v>
      </c>
      <c r="P223" s="341">
        <f t="shared" ref="P223:Q233" si="61">T223/W223</f>
        <v>-1.3635124079629125E-3</v>
      </c>
      <c r="Q223" s="287">
        <f t="shared" si="61"/>
        <v>5.9655324790101633E-2</v>
      </c>
      <c r="T223" s="143">
        <f t="shared" ref="T223:T233" si="62">B223-B133</f>
        <v>-5</v>
      </c>
      <c r="U223" s="143">
        <f t="shared" ref="U223:U233" si="63">N223-N133</f>
        <v>135</v>
      </c>
      <c r="W223" s="10">
        <v>3667</v>
      </c>
      <c r="X223" s="10">
        <v>2263</v>
      </c>
    </row>
    <row r="224" spans="1:24" ht="12.75" customHeight="1" x14ac:dyDescent="0.3">
      <c r="A224" t="s">
        <v>13</v>
      </c>
      <c r="B224" s="10">
        <v>3207</v>
      </c>
      <c r="C224" s="10">
        <v>1941</v>
      </c>
      <c r="D224" s="10">
        <v>140</v>
      </c>
      <c r="E224" s="10">
        <v>1</v>
      </c>
      <c r="F224" s="10">
        <v>43</v>
      </c>
      <c r="G224" s="10">
        <v>0</v>
      </c>
      <c r="H224" s="10">
        <v>7</v>
      </c>
      <c r="I224" s="10">
        <v>2</v>
      </c>
      <c r="J224" s="10">
        <v>4</v>
      </c>
      <c r="K224" s="10">
        <v>141</v>
      </c>
      <c r="L224" s="10">
        <v>1</v>
      </c>
      <c r="M224" s="31">
        <v>0</v>
      </c>
      <c r="N224" s="10">
        <f>SUM(C224:L224)</f>
        <v>2280</v>
      </c>
      <c r="O224" s="10">
        <v>2535</v>
      </c>
      <c r="P224" s="341">
        <f t="shared" si="61"/>
        <v>-0.25</v>
      </c>
      <c r="Q224" s="287">
        <f t="shared" si="61"/>
        <v>-0.14766355140186915</v>
      </c>
      <c r="T224" s="143">
        <f t="shared" si="62"/>
        <v>-1069</v>
      </c>
      <c r="U224" s="143">
        <f t="shared" si="63"/>
        <v>-395</v>
      </c>
      <c r="W224" s="10">
        <v>4276</v>
      </c>
      <c r="X224" s="10">
        <v>2675</v>
      </c>
    </row>
    <row r="225" spans="1:24" ht="12.75" customHeight="1" x14ac:dyDescent="0.3">
      <c r="A225" t="s">
        <v>14</v>
      </c>
      <c r="B225" s="16">
        <v>3480</v>
      </c>
      <c r="C225" s="16">
        <v>2061</v>
      </c>
      <c r="D225" s="16">
        <v>169</v>
      </c>
      <c r="E225" s="16">
        <v>0</v>
      </c>
      <c r="F225" s="16">
        <v>47</v>
      </c>
      <c r="G225" s="16">
        <v>0</v>
      </c>
      <c r="H225" s="16">
        <v>14</v>
      </c>
      <c r="I225" s="16">
        <v>6</v>
      </c>
      <c r="J225" s="16">
        <v>5</v>
      </c>
      <c r="K225" s="16">
        <v>236</v>
      </c>
      <c r="L225" s="16">
        <v>0</v>
      </c>
      <c r="M225" s="31">
        <v>0</v>
      </c>
      <c r="N225" s="10">
        <f>SUM(C225:L225)</f>
        <v>2538</v>
      </c>
      <c r="O225" s="10">
        <v>2538</v>
      </c>
      <c r="P225" s="341">
        <f t="shared" si="61"/>
        <v>-0.40685188341571504</v>
      </c>
      <c r="Q225" s="287">
        <f t="shared" si="61"/>
        <v>-0.2662619254119688</v>
      </c>
      <c r="T225" s="143">
        <f t="shared" si="62"/>
        <v>-2387</v>
      </c>
      <c r="U225" s="143">
        <f t="shared" si="63"/>
        <v>-921</v>
      </c>
      <c r="W225" s="10">
        <v>5867</v>
      </c>
      <c r="X225" s="10">
        <v>3459</v>
      </c>
    </row>
    <row r="226" spans="1:24" ht="12.75" customHeight="1" x14ac:dyDescent="0.3">
      <c r="A226" t="s">
        <v>15</v>
      </c>
      <c r="B226" s="10">
        <v>5041</v>
      </c>
      <c r="C226" s="10">
        <v>2796</v>
      </c>
      <c r="D226" s="10">
        <v>184</v>
      </c>
      <c r="E226" s="10">
        <v>0</v>
      </c>
      <c r="F226" s="10">
        <v>41</v>
      </c>
      <c r="G226" s="10">
        <v>3</v>
      </c>
      <c r="H226" s="10">
        <v>34</v>
      </c>
      <c r="I226" s="10">
        <v>21</v>
      </c>
      <c r="J226" s="10">
        <v>9</v>
      </c>
      <c r="K226" s="10">
        <v>240</v>
      </c>
      <c r="L226" s="10">
        <v>4</v>
      </c>
      <c r="M226" s="31">
        <v>0</v>
      </c>
      <c r="N226" s="10">
        <f t="shared" ref="N226:N229" si="64">SUM(C226:L226)</f>
        <v>3332</v>
      </c>
      <c r="O226" s="10">
        <v>3332</v>
      </c>
      <c r="P226" s="341">
        <f t="shared" si="61"/>
        <v>-0.35247270391779062</v>
      </c>
      <c r="Q226" s="287">
        <f t="shared" si="61"/>
        <v>-0.24238290131878126</v>
      </c>
      <c r="T226" s="143">
        <f t="shared" si="62"/>
        <v>-2744</v>
      </c>
      <c r="U226" s="143">
        <f t="shared" si="63"/>
        <v>-1066</v>
      </c>
      <c r="W226" s="10">
        <v>7785</v>
      </c>
      <c r="X226" s="10">
        <v>4398</v>
      </c>
    </row>
    <row r="227" spans="1:24" ht="12.75" customHeight="1" x14ac:dyDescent="0.3">
      <c r="A227" t="s">
        <v>16</v>
      </c>
      <c r="B227" s="10">
        <v>7988</v>
      </c>
      <c r="C227" s="10">
        <v>3516</v>
      </c>
      <c r="D227" s="10">
        <v>197</v>
      </c>
      <c r="E227" s="10">
        <v>2</v>
      </c>
      <c r="F227" s="10">
        <v>32</v>
      </c>
      <c r="G227" s="10">
        <v>13</v>
      </c>
      <c r="H227" s="10">
        <v>111</v>
      </c>
      <c r="I227" s="10">
        <v>434</v>
      </c>
      <c r="J227" s="10">
        <v>87</v>
      </c>
      <c r="K227" s="10">
        <v>231</v>
      </c>
      <c r="L227" s="10">
        <v>0</v>
      </c>
      <c r="M227" s="31">
        <v>0</v>
      </c>
      <c r="N227" s="10">
        <f t="shared" si="64"/>
        <v>4623</v>
      </c>
      <c r="O227" s="10">
        <v>3630</v>
      </c>
      <c r="P227" s="341">
        <f t="shared" si="61"/>
        <v>-0.2864671728450201</v>
      </c>
      <c r="Q227" s="287">
        <f t="shared" si="61"/>
        <v>-0.17534784159828756</v>
      </c>
      <c r="T227" s="143">
        <f t="shared" si="62"/>
        <v>-3207</v>
      </c>
      <c r="U227" s="143">
        <f t="shared" si="63"/>
        <v>-983</v>
      </c>
      <c r="W227" s="10">
        <v>11195</v>
      </c>
      <c r="X227" s="10">
        <v>5606</v>
      </c>
    </row>
    <row r="228" spans="1:24" ht="12.75" customHeight="1" x14ac:dyDescent="0.3">
      <c r="A228" t="s">
        <v>17</v>
      </c>
      <c r="B228" s="10">
        <v>11840</v>
      </c>
      <c r="C228" s="10">
        <v>4456</v>
      </c>
      <c r="D228" s="10">
        <v>162</v>
      </c>
      <c r="E228" s="10">
        <v>2</v>
      </c>
      <c r="F228" s="10">
        <v>29</v>
      </c>
      <c r="G228" s="10">
        <v>37</v>
      </c>
      <c r="H228" s="10">
        <v>261</v>
      </c>
      <c r="I228" s="10">
        <v>1350</v>
      </c>
      <c r="J228" s="10">
        <v>250</v>
      </c>
      <c r="K228" s="10">
        <v>218</v>
      </c>
      <c r="L228" s="10">
        <v>0</v>
      </c>
      <c r="M228" s="31">
        <v>2</v>
      </c>
      <c r="N228" s="10">
        <f t="shared" si="64"/>
        <v>6765</v>
      </c>
      <c r="O228" s="10">
        <v>3532</v>
      </c>
      <c r="P228" s="341">
        <f t="shared" si="61"/>
        <v>-0.23671995874161939</v>
      </c>
      <c r="Q228" s="287">
        <f t="shared" si="61"/>
        <v>-0.14637223974763408</v>
      </c>
      <c r="T228" s="143">
        <f t="shared" si="62"/>
        <v>-3672</v>
      </c>
      <c r="U228" s="143">
        <f t="shared" si="63"/>
        <v>-1160</v>
      </c>
      <c r="W228" s="10">
        <v>15512</v>
      </c>
      <c r="X228" s="10">
        <v>7925</v>
      </c>
    </row>
    <row r="229" spans="1:24" ht="12.75" customHeight="1" x14ac:dyDescent="0.3">
      <c r="A229" t="s">
        <v>18</v>
      </c>
      <c r="B229" s="10"/>
      <c r="C229" s="10"/>
      <c r="D229" s="10"/>
      <c r="E229" s="10"/>
      <c r="F229" s="10"/>
      <c r="G229" s="10"/>
      <c r="H229" s="10"/>
      <c r="I229" s="10"/>
      <c r="J229" s="10"/>
      <c r="K229" s="10"/>
      <c r="L229" s="10"/>
      <c r="M229" s="31">
        <v>0</v>
      </c>
      <c r="N229" s="10">
        <f t="shared" si="64"/>
        <v>0</v>
      </c>
      <c r="O229" s="10"/>
      <c r="P229" s="341">
        <f t="shared" si="61"/>
        <v>-1</v>
      </c>
      <c r="Q229" s="287">
        <f t="shared" si="61"/>
        <v>-1</v>
      </c>
      <c r="T229" s="143">
        <f t="shared" si="62"/>
        <v>-10160</v>
      </c>
      <c r="U229" s="143">
        <f t="shared" si="63"/>
        <v>-5253</v>
      </c>
      <c r="W229" s="10">
        <v>10160</v>
      </c>
      <c r="X229" s="10">
        <v>5253</v>
      </c>
    </row>
    <row r="230" spans="1:24" ht="12.75" customHeight="1" x14ac:dyDescent="0.3">
      <c r="A230" t="s">
        <v>19</v>
      </c>
      <c r="B230" s="10"/>
      <c r="C230" s="10"/>
      <c r="D230" s="10"/>
      <c r="E230" s="10"/>
      <c r="F230" s="10"/>
      <c r="G230" s="10"/>
      <c r="H230" s="10"/>
      <c r="I230" s="10"/>
      <c r="J230" s="10"/>
      <c r="K230" s="10"/>
      <c r="L230" s="10"/>
      <c r="M230" s="31">
        <v>0</v>
      </c>
      <c r="N230" s="10">
        <f>SUM(C230:L230)</f>
        <v>0</v>
      </c>
      <c r="O230" s="10"/>
      <c r="P230" s="341">
        <f t="shared" si="61"/>
        <v>-1</v>
      </c>
      <c r="Q230" s="287">
        <f t="shared" si="61"/>
        <v>-1</v>
      </c>
      <c r="T230" s="143">
        <f t="shared" si="62"/>
        <v>-3012</v>
      </c>
      <c r="U230" s="143">
        <f t="shared" si="63"/>
        <v>-1492</v>
      </c>
      <c r="W230" s="10">
        <v>3012</v>
      </c>
      <c r="X230" s="10">
        <v>1492</v>
      </c>
    </row>
    <row r="231" spans="1:24" ht="12.75" customHeight="1" x14ac:dyDescent="0.3">
      <c r="A231" t="s">
        <v>20</v>
      </c>
      <c r="B231" s="10"/>
      <c r="C231" s="10"/>
      <c r="D231" s="10"/>
      <c r="E231" s="10"/>
      <c r="F231" s="10"/>
      <c r="G231" s="10"/>
      <c r="H231" s="10"/>
      <c r="I231" s="10"/>
      <c r="J231" s="10"/>
      <c r="K231" s="10"/>
      <c r="L231" s="10"/>
      <c r="M231" s="31">
        <v>0</v>
      </c>
      <c r="N231" s="10">
        <f t="shared" ref="N231:N233" si="65">SUM(C231:L231)</f>
        <v>0</v>
      </c>
      <c r="O231" s="10"/>
      <c r="P231" s="341">
        <f t="shared" si="61"/>
        <v>-1</v>
      </c>
      <c r="Q231" s="287">
        <f t="shared" si="61"/>
        <v>-1</v>
      </c>
      <c r="T231" s="143">
        <f t="shared" si="62"/>
        <v>-5413</v>
      </c>
      <c r="U231" s="143">
        <f t="shared" si="63"/>
        <v>-3496</v>
      </c>
      <c r="W231" s="10">
        <v>5413</v>
      </c>
      <c r="X231" s="10">
        <v>3496</v>
      </c>
    </row>
    <row r="232" spans="1:24" ht="12.75" customHeight="1" x14ac:dyDescent="0.3">
      <c r="A232" t="s">
        <v>21</v>
      </c>
      <c r="B232" s="10"/>
      <c r="C232" s="10"/>
      <c r="D232" s="10"/>
      <c r="E232" s="10"/>
      <c r="F232" s="10"/>
      <c r="G232" s="10"/>
      <c r="H232" s="10"/>
      <c r="I232" s="10"/>
      <c r="J232" s="10"/>
      <c r="K232" s="10"/>
      <c r="L232" s="10"/>
      <c r="M232" s="31">
        <v>0</v>
      </c>
      <c r="N232" s="10">
        <f t="shared" si="65"/>
        <v>0</v>
      </c>
      <c r="O232" s="80"/>
      <c r="P232" s="341">
        <f t="shared" si="61"/>
        <v>-1</v>
      </c>
      <c r="Q232" s="287">
        <f t="shared" si="61"/>
        <v>-1</v>
      </c>
      <c r="T232" s="143">
        <f t="shared" si="62"/>
        <v>-4233</v>
      </c>
      <c r="U232" s="143">
        <f t="shared" si="63"/>
        <v>-2871</v>
      </c>
      <c r="W232" s="10">
        <v>4233</v>
      </c>
      <c r="X232" s="10">
        <v>2871</v>
      </c>
    </row>
    <row r="233" spans="1:24" ht="12.75" customHeight="1" thickBot="1" x14ac:dyDescent="0.35">
      <c r="A233" s="374" t="s">
        <v>22</v>
      </c>
      <c r="B233" s="382"/>
      <c r="C233" s="382"/>
      <c r="D233" s="382"/>
      <c r="E233" s="382"/>
      <c r="F233" s="382"/>
      <c r="G233" s="388"/>
      <c r="H233" s="388"/>
      <c r="I233" s="388"/>
      <c r="J233" s="388"/>
      <c r="K233" s="388"/>
      <c r="L233" s="382"/>
      <c r="M233" s="366">
        <v>0</v>
      </c>
      <c r="N233" s="382">
        <f t="shared" si="65"/>
        <v>0</v>
      </c>
      <c r="O233" s="389"/>
      <c r="P233" s="390">
        <f t="shared" si="61"/>
        <v>-1</v>
      </c>
      <c r="Q233" s="384">
        <f t="shared" si="61"/>
        <v>-1</v>
      </c>
      <c r="T233" s="143">
        <f t="shared" si="62"/>
        <v>-4193</v>
      </c>
      <c r="U233" s="143">
        <f t="shared" si="63"/>
        <v>-2743</v>
      </c>
      <c r="W233" s="382">
        <v>4193</v>
      </c>
      <c r="X233" s="382">
        <v>2743</v>
      </c>
    </row>
    <row r="234" spans="1:24" ht="12.75" customHeight="1" x14ac:dyDescent="0.3">
      <c r="A234" s="3" t="s">
        <v>137</v>
      </c>
      <c r="B234" s="8">
        <v>79275</v>
      </c>
      <c r="C234" s="8">
        <v>34702</v>
      </c>
      <c r="D234" s="8">
        <v>1827</v>
      </c>
      <c r="E234" s="8">
        <v>127</v>
      </c>
      <c r="F234" s="8">
        <v>436</v>
      </c>
      <c r="G234" s="8">
        <v>79</v>
      </c>
      <c r="H234" s="8">
        <v>599</v>
      </c>
      <c r="I234" s="8">
        <v>3862</v>
      </c>
      <c r="J234" s="8">
        <v>1017</v>
      </c>
      <c r="K234" s="8">
        <v>1994</v>
      </c>
      <c r="L234" s="8">
        <v>64</v>
      </c>
      <c r="M234" s="31">
        <v>137</v>
      </c>
      <c r="N234" s="8">
        <v>44707</v>
      </c>
      <c r="O234" s="391">
        <v>33396.5</v>
      </c>
      <c r="P234" s="186"/>
      <c r="Q234" s="187"/>
      <c r="T234" s="143"/>
      <c r="U234" s="143"/>
    </row>
    <row r="235" spans="1:24" ht="12.75" customHeight="1" x14ac:dyDescent="0.3">
      <c r="A235" s="5" t="s">
        <v>131</v>
      </c>
      <c r="B235" s="9"/>
      <c r="C235" s="9"/>
      <c r="D235" s="9"/>
      <c r="E235" s="9"/>
      <c r="F235" s="9"/>
      <c r="G235" s="9"/>
      <c r="H235" s="9"/>
      <c r="I235" s="9"/>
      <c r="J235" s="9"/>
      <c r="K235" s="9"/>
      <c r="L235" s="9"/>
      <c r="M235" s="9"/>
      <c r="N235" s="9"/>
      <c r="O235" s="157"/>
      <c r="P235" s="47"/>
      <c r="Q235" s="120"/>
    </row>
    <row r="236" spans="1:24" ht="12.75" customHeight="1" x14ac:dyDescent="0.3">
      <c r="A236" s="5" t="s">
        <v>23</v>
      </c>
      <c r="B236" s="9">
        <f t="shared" ref="B236:J236" si="66">B234-B235</f>
        <v>79275</v>
      </c>
      <c r="C236" s="9">
        <f t="shared" si="66"/>
        <v>34702</v>
      </c>
      <c r="D236" s="9">
        <f t="shared" si="66"/>
        <v>1827</v>
      </c>
      <c r="E236" s="9">
        <f t="shared" si="66"/>
        <v>127</v>
      </c>
      <c r="F236" s="9">
        <f t="shared" si="66"/>
        <v>436</v>
      </c>
      <c r="G236" s="9">
        <f t="shared" si="66"/>
        <v>79</v>
      </c>
      <c r="H236" s="9">
        <f t="shared" si="66"/>
        <v>599</v>
      </c>
      <c r="I236" s="9">
        <f t="shared" si="66"/>
        <v>3862</v>
      </c>
      <c r="J236" s="9">
        <f t="shared" si="66"/>
        <v>1017</v>
      </c>
      <c r="K236" s="9"/>
      <c r="L236" s="9">
        <f>L234-L235</f>
        <v>64</v>
      </c>
      <c r="M236" s="30">
        <f>M234-M235</f>
        <v>137</v>
      </c>
      <c r="N236" s="9">
        <f>N234-N235</f>
        <v>44707</v>
      </c>
      <c r="O236" s="392">
        <f>O234-O235</f>
        <v>33396.5</v>
      </c>
      <c r="P236" s="48"/>
      <c r="Q236" s="155"/>
    </row>
  </sheetData>
  <phoneticPr fontId="4" type="noConversion"/>
  <printOptions headings="1" gridLines="1" gridLinesSet="0"/>
  <pageMargins left="0.39370078740157483" right="0.19685039370078741" top="0.78740157480314965" bottom="0.78740157480314965" header="0.51181102362204722" footer="0.51181102362204722"/>
  <pageSetup paperSize="9" scale="1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1C0C0F-D72C-448F-8B32-ACEA1B08E2EE}">
  <dimension ref="A2:R88"/>
  <sheetViews>
    <sheetView topLeftCell="A56" workbookViewId="0">
      <selection activeCell="O47" sqref="O47"/>
    </sheetView>
  </sheetViews>
  <sheetFormatPr defaultRowHeight="12.5" x14ac:dyDescent="0.25"/>
  <sheetData>
    <row r="2" spans="1:18" ht="14.9" customHeight="1" x14ac:dyDescent="0.25"/>
    <row r="3" spans="1:18" ht="14.9" customHeight="1" x14ac:dyDescent="0.25"/>
    <row r="4" spans="1:18" ht="14.9" customHeight="1" x14ac:dyDescent="0.25"/>
    <row r="5" spans="1:18" ht="14.9" customHeight="1" x14ac:dyDescent="0.25"/>
    <row r="6" spans="1:18" ht="14.9" customHeight="1" x14ac:dyDescent="0.3">
      <c r="A6" s="1" t="s">
        <v>0</v>
      </c>
      <c r="B6" s="2" t="s">
        <v>1</v>
      </c>
      <c r="C6" s="2" t="s">
        <v>2</v>
      </c>
      <c r="D6" s="2" t="s">
        <v>3</v>
      </c>
      <c r="E6" s="2" t="s">
        <v>4</v>
      </c>
      <c r="F6" s="2" t="s">
        <v>5</v>
      </c>
      <c r="G6" s="2" t="s">
        <v>6</v>
      </c>
      <c r="H6" s="32" t="s">
        <v>7</v>
      </c>
      <c r="I6" s="1" t="s">
        <v>8</v>
      </c>
      <c r="J6" s="2" t="s">
        <v>10</v>
      </c>
      <c r="K6" s="2" t="s">
        <v>1</v>
      </c>
      <c r="L6" s="2" t="s">
        <v>9</v>
      </c>
      <c r="N6" s="3" t="s">
        <v>94</v>
      </c>
      <c r="O6" s="3" t="s">
        <v>95</v>
      </c>
      <c r="Q6" s="3" t="s">
        <v>87</v>
      </c>
      <c r="R6" s="3" t="s">
        <v>88</v>
      </c>
    </row>
    <row r="7" spans="1:18" ht="14.9" customHeight="1" x14ac:dyDescent="0.3">
      <c r="A7" t="s">
        <v>11</v>
      </c>
      <c r="B7" s="10">
        <v>1210</v>
      </c>
      <c r="C7" s="10">
        <v>722</v>
      </c>
      <c r="D7" s="10">
        <v>34</v>
      </c>
      <c r="E7" s="10">
        <v>0</v>
      </c>
      <c r="F7" s="10">
        <v>46</v>
      </c>
      <c r="G7" s="10">
        <v>21</v>
      </c>
      <c r="H7" s="31">
        <v>0</v>
      </c>
      <c r="I7" s="10">
        <f>SUM(C7:G7)</f>
        <v>823</v>
      </c>
      <c r="J7" s="10">
        <v>708</v>
      </c>
      <c r="K7" s="285">
        <f>N7/Q7</f>
        <v>7.4937552039966698E-3</v>
      </c>
      <c r="L7" s="286">
        <v>-6.0502283105022828E-2</v>
      </c>
      <c r="M7" s="22"/>
      <c r="N7" s="143">
        <v>9</v>
      </c>
      <c r="O7" s="143">
        <v>-53</v>
      </c>
      <c r="Q7" s="12">
        <v>1201</v>
      </c>
      <c r="R7" s="12">
        <v>876</v>
      </c>
    </row>
    <row r="8" spans="1:18" ht="14.9" customHeight="1" x14ac:dyDescent="0.3">
      <c r="A8" t="s">
        <v>12</v>
      </c>
      <c r="B8" s="10">
        <v>978</v>
      </c>
      <c r="C8" s="10">
        <v>618</v>
      </c>
      <c r="D8" s="10">
        <v>42</v>
      </c>
      <c r="E8" s="10">
        <v>0</v>
      </c>
      <c r="F8" s="10">
        <v>16</v>
      </c>
      <c r="G8" s="10">
        <v>16</v>
      </c>
      <c r="H8" s="31">
        <v>0</v>
      </c>
      <c r="I8" s="10">
        <f t="shared" ref="I8:I18" si="0">SUM(C8:G8)</f>
        <v>692</v>
      </c>
      <c r="J8" s="10">
        <v>548</v>
      </c>
      <c r="K8" s="285">
        <f>N8/Q8</f>
        <v>-0.18158995815899581</v>
      </c>
      <c r="L8" s="287">
        <v>-0.19628339140534262</v>
      </c>
      <c r="M8" s="22"/>
      <c r="N8" s="143">
        <v>-217</v>
      </c>
      <c r="O8" s="143">
        <v>-169</v>
      </c>
      <c r="Q8" s="12">
        <v>1195</v>
      </c>
      <c r="R8" s="12">
        <v>861</v>
      </c>
    </row>
    <row r="9" spans="1:18" ht="14.9" customHeight="1" x14ac:dyDescent="0.3">
      <c r="A9" t="s">
        <v>13</v>
      </c>
      <c r="B9" s="10">
        <v>1352</v>
      </c>
      <c r="C9" s="10">
        <v>860</v>
      </c>
      <c r="D9" s="10">
        <v>54</v>
      </c>
      <c r="E9" s="10">
        <v>2</v>
      </c>
      <c r="F9" s="10">
        <v>4</v>
      </c>
      <c r="G9" s="10">
        <v>15</v>
      </c>
      <c r="H9" s="31">
        <v>0</v>
      </c>
      <c r="I9" s="10">
        <f t="shared" si="0"/>
        <v>935</v>
      </c>
      <c r="J9" s="10">
        <v>596</v>
      </c>
      <c r="K9" s="285">
        <f t="shared" ref="K9" si="1">N9/Q9</f>
        <v>-0.1111111111111111</v>
      </c>
      <c r="L9" s="287">
        <v>-2.2988505747126436E-2</v>
      </c>
      <c r="M9" s="22"/>
      <c r="N9" s="143">
        <v>-169</v>
      </c>
      <c r="O9" s="143">
        <v>-22</v>
      </c>
      <c r="Q9" s="12">
        <v>1521</v>
      </c>
      <c r="R9" s="12">
        <v>957</v>
      </c>
    </row>
    <row r="10" spans="1:18" ht="14.9" customHeight="1" x14ac:dyDescent="0.3">
      <c r="A10" t="s">
        <v>14</v>
      </c>
      <c r="B10" s="10">
        <v>1544</v>
      </c>
      <c r="C10" s="10">
        <v>960</v>
      </c>
      <c r="D10" s="10">
        <v>36</v>
      </c>
      <c r="E10" s="10">
        <v>0</v>
      </c>
      <c r="F10" s="10">
        <v>4</v>
      </c>
      <c r="G10" s="10">
        <v>26</v>
      </c>
      <c r="H10" s="31">
        <v>0</v>
      </c>
      <c r="I10" s="10">
        <f t="shared" si="0"/>
        <v>1026</v>
      </c>
      <c r="J10" s="10">
        <v>392</v>
      </c>
      <c r="K10" s="285">
        <f>N10/Q10</f>
        <v>-9.495896834701055E-2</v>
      </c>
      <c r="L10" s="287">
        <v>-0.14571190674437967</v>
      </c>
      <c r="M10" s="22"/>
      <c r="N10" s="143">
        <v>-162</v>
      </c>
      <c r="O10" s="143">
        <v>-175</v>
      </c>
      <c r="Q10" s="12">
        <v>1706</v>
      </c>
      <c r="R10" s="12">
        <v>1201</v>
      </c>
    </row>
    <row r="11" spans="1:18" ht="14.9" customHeight="1" x14ac:dyDescent="0.3">
      <c r="A11" t="s">
        <v>15</v>
      </c>
      <c r="B11" s="10">
        <v>1886</v>
      </c>
      <c r="C11" s="10">
        <v>1137</v>
      </c>
      <c r="D11" s="10">
        <v>54</v>
      </c>
      <c r="E11" s="10">
        <v>0</v>
      </c>
      <c r="F11" s="10">
        <v>30</v>
      </c>
      <c r="G11" s="10">
        <v>100</v>
      </c>
      <c r="H11" s="31">
        <v>0</v>
      </c>
      <c r="I11" s="10">
        <f t="shared" si="0"/>
        <v>1321</v>
      </c>
      <c r="J11" s="10">
        <v>780</v>
      </c>
      <c r="K11" s="285">
        <f t="shared" ref="K11:K18" si="2">N11/Q11</f>
        <v>-5.8882235528942117E-2</v>
      </c>
      <c r="L11" s="287">
        <v>-4.2753623188405795E-2</v>
      </c>
      <c r="M11" s="22"/>
      <c r="N11" s="143">
        <v>-118</v>
      </c>
      <c r="O11" s="143">
        <v>-59</v>
      </c>
      <c r="Q11" s="12">
        <v>2004</v>
      </c>
      <c r="R11" s="12">
        <v>1380</v>
      </c>
    </row>
    <row r="12" spans="1:18" ht="14.9" customHeight="1" x14ac:dyDescent="0.3">
      <c r="A12" t="s">
        <v>16</v>
      </c>
      <c r="B12" s="10">
        <v>2231</v>
      </c>
      <c r="C12" s="10">
        <v>1200</v>
      </c>
      <c r="D12" s="10">
        <v>64</v>
      </c>
      <c r="E12" s="10">
        <v>0</v>
      </c>
      <c r="F12" s="10">
        <v>26</v>
      </c>
      <c r="G12" s="10">
        <v>230</v>
      </c>
      <c r="H12" s="31">
        <v>0</v>
      </c>
      <c r="I12" s="10">
        <f t="shared" si="0"/>
        <v>1520</v>
      </c>
      <c r="J12" s="10">
        <v>848</v>
      </c>
      <c r="K12" s="285">
        <f t="shared" si="2"/>
        <v>-0.17001488095238096</v>
      </c>
      <c r="L12" s="287">
        <v>-6.2307217766810613E-2</v>
      </c>
      <c r="M12" s="22"/>
      <c r="N12" s="143">
        <v>-457</v>
      </c>
      <c r="O12" s="143">
        <v>-101</v>
      </c>
      <c r="Q12" s="12">
        <v>2688</v>
      </c>
      <c r="R12" s="12">
        <v>1621</v>
      </c>
    </row>
    <row r="13" spans="1:18" ht="14.9" customHeight="1" x14ac:dyDescent="0.3">
      <c r="A13" t="s">
        <v>17</v>
      </c>
      <c r="B13" s="10">
        <v>4235</v>
      </c>
      <c r="C13" s="10">
        <v>1725</v>
      </c>
      <c r="D13" s="10">
        <v>79</v>
      </c>
      <c r="E13" s="10">
        <v>0</v>
      </c>
      <c r="F13" s="10">
        <v>30</v>
      </c>
      <c r="G13" s="10">
        <v>487</v>
      </c>
      <c r="H13" s="31">
        <v>3</v>
      </c>
      <c r="I13" s="10">
        <f t="shared" si="0"/>
        <v>2321</v>
      </c>
      <c r="J13" s="10">
        <v>1030</v>
      </c>
      <c r="K13" s="285">
        <f t="shared" si="2"/>
        <v>-0.13835198372329605</v>
      </c>
      <c r="L13" s="287">
        <v>-0.13749535488665923</v>
      </c>
      <c r="M13" s="22"/>
      <c r="N13" s="143">
        <v>-680</v>
      </c>
      <c r="O13" s="143">
        <v>-370</v>
      </c>
      <c r="Q13" s="12">
        <v>4915</v>
      </c>
      <c r="R13" s="12">
        <v>2691</v>
      </c>
    </row>
    <row r="14" spans="1:18" ht="14.9" customHeight="1" x14ac:dyDescent="0.3">
      <c r="A14" t="s">
        <v>18</v>
      </c>
      <c r="B14" s="10">
        <v>2659</v>
      </c>
      <c r="C14" s="10">
        <v>1353</v>
      </c>
      <c r="D14" s="10">
        <v>64</v>
      </c>
      <c r="E14" s="10">
        <v>2</v>
      </c>
      <c r="F14" s="10">
        <v>39</v>
      </c>
      <c r="G14" s="10">
        <v>275</v>
      </c>
      <c r="H14" s="31">
        <v>0</v>
      </c>
      <c r="I14" s="10">
        <f t="shared" si="0"/>
        <v>1733</v>
      </c>
      <c r="J14" s="10">
        <v>976</v>
      </c>
      <c r="K14" s="285">
        <f t="shared" si="2"/>
        <v>-1.1156563778356266E-2</v>
      </c>
      <c r="L14" s="287">
        <v>5.7736720554272516E-4</v>
      </c>
      <c r="M14" s="22"/>
      <c r="N14" s="143">
        <v>-30</v>
      </c>
      <c r="O14" s="143">
        <v>1</v>
      </c>
      <c r="Q14" s="12">
        <v>2689</v>
      </c>
      <c r="R14" s="12">
        <v>1732</v>
      </c>
    </row>
    <row r="15" spans="1:18" ht="14.9" customHeight="1" x14ac:dyDescent="0.3">
      <c r="A15" t="s">
        <v>19</v>
      </c>
      <c r="B15" s="10">
        <v>1804</v>
      </c>
      <c r="C15" s="10">
        <v>1057</v>
      </c>
      <c r="D15" s="10">
        <v>48</v>
      </c>
      <c r="E15" s="10">
        <v>0</v>
      </c>
      <c r="F15" s="10">
        <v>36</v>
      </c>
      <c r="G15" s="10">
        <v>86</v>
      </c>
      <c r="H15" s="31">
        <v>0</v>
      </c>
      <c r="I15" s="10">
        <f t="shared" si="0"/>
        <v>1227</v>
      </c>
      <c r="J15" s="10">
        <v>752</v>
      </c>
      <c r="K15" s="285">
        <f t="shared" si="2"/>
        <v>0.12328767123287671</v>
      </c>
      <c r="L15" s="287">
        <v>8.3922261484098939E-2</v>
      </c>
      <c r="M15" s="22"/>
      <c r="N15" s="143">
        <v>198</v>
      </c>
      <c r="O15" s="143">
        <v>95</v>
      </c>
      <c r="Q15" s="12">
        <v>1606</v>
      </c>
      <c r="R15" s="12">
        <v>1132</v>
      </c>
    </row>
    <row r="16" spans="1:18" ht="14.9" customHeight="1" x14ac:dyDescent="0.3">
      <c r="A16" t="s">
        <v>20</v>
      </c>
      <c r="B16" s="10">
        <v>1522</v>
      </c>
      <c r="C16" s="10">
        <v>954</v>
      </c>
      <c r="D16" s="10">
        <v>50</v>
      </c>
      <c r="E16" s="10">
        <v>0</v>
      </c>
      <c r="F16" s="10">
        <v>14</v>
      </c>
      <c r="G16" s="10">
        <v>48</v>
      </c>
      <c r="H16" s="31">
        <v>0</v>
      </c>
      <c r="I16" s="10">
        <f t="shared" si="0"/>
        <v>1066</v>
      </c>
      <c r="J16" s="10">
        <v>576</v>
      </c>
      <c r="K16" s="285">
        <f t="shared" si="2"/>
        <v>-0.12175418349682632</v>
      </c>
      <c r="L16" s="287">
        <v>-0.10794979079497909</v>
      </c>
      <c r="M16" s="22"/>
      <c r="N16" s="143">
        <v>-211</v>
      </c>
      <c r="O16" s="143">
        <v>-129</v>
      </c>
      <c r="Q16" s="12">
        <v>1733</v>
      </c>
      <c r="R16" s="12">
        <v>1195</v>
      </c>
    </row>
    <row r="17" spans="1:18" ht="14.9" customHeight="1" thickBot="1" x14ac:dyDescent="0.35">
      <c r="A17" t="s">
        <v>21</v>
      </c>
      <c r="B17" s="10">
        <v>1449</v>
      </c>
      <c r="C17" s="10">
        <v>909</v>
      </c>
      <c r="D17" s="10">
        <v>38</v>
      </c>
      <c r="E17" s="10">
        <v>0</v>
      </c>
      <c r="F17" s="10">
        <v>18</v>
      </c>
      <c r="G17" s="10">
        <v>25</v>
      </c>
      <c r="H17" s="31">
        <v>0</v>
      </c>
      <c r="I17" s="10">
        <f t="shared" si="0"/>
        <v>990</v>
      </c>
      <c r="J17" s="10">
        <v>524</v>
      </c>
      <c r="K17" s="285">
        <f t="shared" si="2"/>
        <v>-2.620967741935484E-2</v>
      </c>
      <c r="L17" s="287">
        <v>-7.1294559099437146E-2</v>
      </c>
      <c r="M17" s="22"/>
      <c r="N17" s="143">
        <v>-39</v>
      </c>
      <c r="O17" s="143">
        <v>-76</v>
      </c>
      <c r="Q17" s="12">
        <v>1488</v>
      </c>
      <c r="R17" s="12">
        <v>1066</v>
      </c>
    </row>
    <row r="18" spans="1:18" ht="14.9" customHeight="1" thickBot="1" x14ac:dyDescent="0.35">
      <c r="A18" s="4" t="s">
        <v>22</v>
      </c>
      <c r="B18" s="11">
        <v>1207</v>
      </c>
      <c r="C18" s="11">
        <v>769</v>
      </c>
      <c r="D18" s="11">
        <v>29</v>
      </c>
      <c r="E18" s="11">
        <v>0</v>
      </c>
      <c r="F18" s="11">
        <v>9</v>
      </c>
      <c r="G18" s="11">
        <v>19</v>
      </c>
      <c r="H18" s="30">
        <v>0</v>
      </c>
      <c r="I18" s="81">
        <f t="shared" si="0"/>
        <v>826</v>
      </c>
      <c r="J18" s="295">
        <v>362</v>
      </c>
      <c r="K18" s="288">
        <f t="shared" si="2"/>
        <v>-6.8672839506172839E-2</v>
      </c>
      <c r="L18" s="289">
        <v>-7.8125E-2</v>
      </c>
      <c r="M18" s="22"/>
      <c r="N18" s="169">
        <v>-89</v>
      </c>
      <c r="O18" s="169">
        <v>-70</v>
      </c>
      <c r="Q18" s="20">
        <v>1296</v>
      </c>
      <c r="R18" s="12">
        <v>896</v>
      </c>
    </row>
    <row r="19" spans="1:18" ht="14.9" customHeight="1" x14ac:dyDescent="0.3">
      <c r="A19" s="36" t="s">
        <v>96</v>
      </c>
      <c r="B19" s="8">
        <f>SUM(B7:B18)</f>
        <v>22077</v>
      </c>
      <c r="C19" s="8">
        <f t="shared" ref="C19:H19" si="3">SUM(C7:C18)</f>
        <v>12264</v>
      </c>
      <c r="D19" s="8">
        <f t="shared" si="3"/>
        <v>592</v>
      </c>
      <c r="E19" s="8">
        <f t="shared" si="3"/>
        <v>4</v>
      </c>
      <c r="F19" s="8">
        <f t="shared" si="3"/>
        <v>272</v>
      </c>
      <c r="G19" s="8">
        <f t="shared" si="3"/>
        <v>1348</v>
      </c>
      <c r="H19" s="31">
        <f t="shared" si="3"/>
        <v>3</v>
      </c>
      <c r="I19" s="8">
        <f>SUM(I7:I18)</f>
        <v>14480</v>
      </c>
      <c r="J19" s="8">
        <f>SUM(J7:J18)</f>
        <v>8092</v>
      </c>
      <c r="K19" s="285">
        <f>N19/Q19</f>
        <v>-8.1731969054155224E-2</v>
      </c>
      <c r="L19" s="287">
        <v>-7.227063044592516E-2</v>
      </c>
      <c r="M19" s="22"/>
      <c r="N19" s="143">
        <v>-1965</v>
      </c>
      <c r="O19" s="143">
        <v>-1128</v>
      </c>
      <c r="Q19" s="12">
        <v>24042</v>
      </c>
      <c r="R19" s="12">
        <v>15608</v>
      </c>
    </row>
    <row r="20" spans="1:18" ht="14.9" customHeight="1" x14ac:dyDescent="0.3">
      <c r="A20" s="37" t="s">
        <v>89</v>
      </c>
      <c r="B20" s="9">
        <v>24042</v>
      </c>
      <c r="C20" s="9">
        <v>12956</v>
      </c>
      <c r="D20" s="9">
        <v>660</v>
      </c>
      <c r="E20" s="9">
        <v>0</v>
      </c>
      <c r="F20" s="9">
        <v>302</v>
      </c>
      <c r="G20" s="9">
        <v>1690</v>
      </c>
      <c r="H20" s="9">
        <v>0</v>
      </c>
      <c r="I20" s="9">
        <v>15608</v>
      </c>
      <c r="J20" s="9">
        <v>9016</v>
      </c>
      <c r="K20" s="47"/>
      <c r="L20" s="120"/>
      <c r="N20" s="79"/>
      <c r="O20" s="79"/>
    </row>
    <row r="21" spans="1:18" ht="14.9" customHeight="1" x14ac:dyDescent="0.3">
      <c r="A21" s="5" t="s">
        <v>23</v>
      </c>
      <c r="B21" s="9">
        <f t="shared" ref="B21:J21" si="4">B19-B20</f>
        <v>-1965</v>
      </c>
      <c r="C21" s="9">
        <f t="shared" si="4"/>
        <v>-692</v>
      </c>
      <c r="D21" s="9">
        <f t="shared" si="4"/>
        <v>-68</v>
      </c>
      <c r="E21" s="9">
        <f t="shared" si="4"/>
        <v>4</v>
      </c>
      <c r="F21" s="9">
        <f t="shared" si="4"/>
        <v>-30</v>
      </c>
      <c r="G21" s="9">
        <f t="shared" si="4"/>
        <v>-342</v>
      </c>
      <c r="H21" s="30">
        <f t="shared" si="4"/>
        <v>3</v>
      </c>
      <c r="I21" s="9">
        <f t="shared" si="4"/>
        <v>-1128</v>
      </c>
      <c r="J21" s="9">
        <f t="shared" si="4"/>
        <v>-924</v>
      </c>
      <c r="K21" s="19"/>
      <c r="L21" s="121"/>
    </row>
    <row r="22" spans="1:18" ht="14.9" customHeight="1" x14ac:dyDescent="0.25"/>
    <row r="25" spans="1:18" ht="14.9" customHeight="1" x14ac:dyDescent="0.25"/>
    <row r="26" spans="1:18" ht="14.9" customHeight="1" x14ac:dyDescent="0.25"/>
    <row r="27" spans="1:18" ht="14.9" customHeight="1" x14ac:dyDescent="0.25"/>
    <row r="28" spans="1:18" ht="14.9" customHeight="1" x14ac:dyDescent="0.25"/>
    <row r="29" spans="1:18" ht="14.9" customHeight="1" x14ac:dyDescent="0.3">
      <c r="A29" s="1" t="s">
        <v>0</v>
      </c>
      <c r="B29" s="2" t="s">
        <v>1</v>
      </c>
      <c r="C29" s="2" t="s">
        <v>2</v>
      </c>
      <c r="D29" s="2" t="s">
        <v>3</v>
      </c>
      <c r="E29" s="2" t="s">
        <v>4</v>
      </c>
      <c r="F29" s="2" t="s">
        <v>5</v>
      </c>
      <c r="G29" s="2" t="s">
        <v>6</v>
      </c>
      <c r="H29" s="32" t="s">
        <v>7</v>
      </c>
      <c r="I29" s="1" t="s">
        <v>8</v>
      </c>
      <c r="J29" s="2" t="s">
        <v>10</v>
      </c>
      <c r="K29" s="2" t="s">
        <v>1</v>
      </c>
      <c r="L29" s="2" t="s">
        <v>9</v>
      </c>
      <c r="N29" s="3" t="s">
        <v>103</v>
      </c>
      <c r="O29" s="3" t="s">
        <v>104</v>
      </c>
      <c r="Q29" s="3" t="s">
        <v>94</v>
      </c>
      <c r="R29" s="3" t="s">
        <v>95</v>
      </c>
    </row>
    <row r="30" spans="1:18" ht="14.9" customHeight="1" x14ac:dyDescent="0.3">
      <c r="A30" t="s">
        <v>11</v>
      </c>
      <c r="B30" s="10">
        <v>1289</v>
      </c>
      <c r="C30" s="10">
        <v>809</v>
      </c>
      <c r="D30" s="10">
        <v>38</v>
      </c>
      <c r="E30" s="10">
        <v>0</v>
      </c>
      <c r="F30" s="10">
        <v>10</v>
      </c>
      <c r="G30" s="10">
        <v>15</v>
      </c>
      <c r="H30" s="31">
        <v>0</v>
      </c>
      <c r="I30" s="10">
        <f>SUM(C30:G30)</f>
        <v>872</v>
      </c>
      <c r="J30" s="10">
        <v>460</v>
      </c>
      <c r="K30" s="285">
        <v>6.5289256198347106E-2</v>
      </c>
      <c r="L30" s="286">
        <v>5.9538274605103282E-2</v>
      </c>
      <c r="M30" s="22"/>
      <c r="N30" s="143">
        <v>79</v>
      </c>
      <c r="O30" s="143">
        <v>49</v>
      </c>
      <c r="Q30" s="12">
        <v>1210</v>
      </c>
      <c r="R30" s="12">
        <v>823</v>
      </c>
    </row>
    <row r="31" spans="1:18" ht="14.9" customHeight="1" x14ac:dyDescent="0.3">
      <c r="A31" t="s">
        <v>12</v>
      </c>
      <c r="B31" s="10">
        <v>918</v>
      </c>
      <c r="C31" s="10">
        <v>605</v>
      </c>
      <c r="D31" s="10">
        <v>34</v>
      </c>
      <c r="E31" s="10">
        <v>0</v>
      </c>
      <c r="F31" s="10">
        <v>14</v>
      </c>
      <c r="G31" s="10">
        <v>7</v>
      </c>
      <c r="H31" s="31">
        <v>0</v>
      </c>
      <c r="I31" s="10">
        <f t="shared" ref="I31:I41" si="5">SUM(C31:G31)</f>
        <v>660</v>
      </c>
      <c r="J31" s="10">
        <v>452</v>
      </c>
      <c r="K31" s="285">
        <v>-6.1349693251533742E-2</v>
      </c>
      <c r="L31" s="287">
        <v>-4.6242774566473986E-2</v>
      </c>
      <c r="M31" s="22"/>
      <c r="N31" s="143">
        <v>-60</v>
      </c>
      <c r="O31" s="143">
        <v>-32</v>
      </c>
      <c r="Q31" s="12">
        <v>978</v>
      </c>
      <c r="R31" s="12">
        <v>692</v>
      </c>
    </row>
    <row r="32" spans="1:18" ht="14.9" customHeight="1" x14ac:dyDescent="0.3">
      <c r="A32" t="s">
        <v>13</v>
      </c>
      <c r="B32" s="10">
        <v>1309</v>
      </c>
      <c r="C32" s="10">
        <v>803</v>
      </c>
      <c r="D32" s="10">
        <v>42</v>
      </c>
      <c r="E32" s="10">
        <v>0</v>
      </c>
      <c r="F32" s="10">
        <v>46</v>
      </c>
      <c r="G32" s="10">
        <v>18</v>
      </c>
      <c r="H32" s="31">
        <v>0</v>
      </c>
      <c r="I32" s="10">
        <f t="shared" si="5"/>
        <v>909</v>
      </c>
      <c r="J32" s="10">
        <v>788</v>
      </c>
      <c r="K32" s="285">
        <v>-3.1804733727810654E-2</v>
      </c>
      <c r="L32" s="287">
        <v>-2.7807486631016044E-2</v>
      </c>
      <c r="M32" s="22"/>
      <c r="N32" s="143">
        <v>-43</v>
      </c>
      <c r="O32" s="143">
        <v>-26</v>
      </c>
      <c r="Q32" s="12">
        <v>1352</v>
      </c>
      <c r="R32" s="12">
        <v>935</v>
      </c>
    </row>
    <row r="33" spans="1:18" ht="14.9" customHeight="1" x14ac:dyDescent="0.3">
      <c r="A33" t="s">
        <v>14</v>
      </c>
      <c r="B33" s="10">
        <v>1571</v>
      </c>
      <c r="C33" s="10">
        <v>931</v>
      </c>
      <c r="D33" s="10">
        <v>38</v>
      </c>
      <c r="E33" s="10">
        <v>0</v>
      </c>
      <c r="F33" s="10">
        <v>25</v>
      </c>
      <c r="G33" s="10">
        <v>52</v>
      </c>
      <c r="H33" s="31">
        <v>2</v>
      </c>
      <c r="I33" s="10">
        <f t="shared" si="5"/>
        <v>1046</v>
      </c>
      <c r="J33" s="10">
        <v>580</v>
      </c>
      <c r="K33" s="285">
        <v>1.7487046632124352E-2</v>
      </c>
      <c r="L33" s="287">
        <v>1.9493177387914229E-2</v>
      </c>
      <c r="M33" s="22"/>
      <c r="N33" s="143">
        <v>27</v>
      </c>
      <c r="O33" s="143">
        <v>20</v>
      </c>
      <c r="Q33" s="12">
        <v>1544</v>
      </c>
      <c r="R33" s="12">
        <v>1026</v>
      </c>
    </row>
    <row r="34" spans="1:18" ht="14.9" customHeight="1" x14ac:dyDescent="0.3">
      <c r="A34" t="s">
        <v>15</v>
      </c>
      <c r="B34" s="10">
        <v>1896</v>
      </c>
      <c r="C34" s="10">
        <v>1060</v>
      </c>
      <c r="D34" s="10">
        <v>55</v>
      </c>
      <c r="E34" s="10">
        <v>0</v>
      </c>
      <c r="F34" s="10">
        <v>66</v>
      </c>
      <c r="G34" s="10">
        <v>105</v>
      </c>
      <c r="H34" s="31">
        <v>0</v>
      </c>
      <c r="I34" s="10">
        <f t="shared" si="5"/>
        <v>1286</v>
      </c>
      <c r="J34" s="10">
        <v>1078</v>
      </c>
      <c r="K34" s="285">
        <v>5.3022269353128317E-3</v>
      </c>
      <c r="L34" s="287">
        <v>-2.6495079485238455E-2</v>
      </c>
      <c r="M34" s="22"/>
      <c r="N34" s="143">
        <v>10</v>
      </c>
      <c r="O34" s="143">
        <v>-35</v>
      </c>
      <c r="Q34" s="12">
        <v>1886</v>
      </c>
      <c r="R34" s="12">
        <v>1321</v>
      </c>
    </row>
    <row r="35" spans="1:18" ht="14.9" customHeight="1" x14ac:dyDescent="0.3">
      <c r="A35" t="s">
        <v>16</v>
      </c>
      <c r="B35" s="10">
        <v>2558</v>
      </c>
      <c r="C35" s="10">
        <v>1218</v>
      </c>
      <c r="D35" s="10">
        <v>58</v>
      </c>
      <c r="E35" s="10">
        <v>0</v>
      </c>
      <c r="F35" s="10">
        <v>58</v>
      </c>
      <c r="G35" s="10">
        <v>313</v>
      </c>
      <c r="H35" s="31">
        <v>0</v>
      </c>
      <c r="I35" s="10">
        <f t="shared" si="5"/>
        <v>1647</v>
      </c>
      <c r="J35" s="10">
        <v>1044</v>
      </c>
      <c r="K35" s="285">
        <v>0.14657104437471985</v>
      </c>
      <c r="L35" s="287">
        <v>8.3552631578947364E-2</v>
      </c>
      <c r="M35" s="22"/>
      <c r="N35" s="143">
        <v>327</v>
      </c>
      <c r="O35" s="143">
        <v>127</v>
      </c>
      <c r="Q35" s="12">
        <v>2231</v>
      </c>
      <c r="R35" s="12">
        <v>1520</v>
      </c>
    </row>
    <row r="36" spans="1:18" ht="14.9" customHeight="1" x14ac:dyDescent="0.3">
      <c r="A36" t="s">
        <v>17</v>
      </c>
      <c r="B36" s="10">
        <v>4138</v>
      </c>
      <c r="C36" s="10">
        <v>1667</v>
      </c>
      <c r="D36" s="10">
        <v>86</v>
      </c>
      <c r="E36" s="10">
        <v>0</v>
      </c>
      <c r="F36" s="10">
        <v>52</v>
      </c>
      <c r="G36" s="10">
        <v>638</v>
      </c>
      <c r="H36" s="31">
        <v>0</v>
      </c>
      <c r="I36" s="10">
        <f t="shared" si="5"/>
        <v>2443</v>
      </c>
      <c r="J36" s="10">
        <v>1276</v>
      </c>
      <c r="K36" s="285">
        <v>-2.2904368358913813E-2</v>
      </c>
      <c r="L36" s="287">
        <v>5.2563550193881946E-2</v>
      </c>
      <c r="M36" s="22"/>
      <c r="N36" s="143">
        <v>-97</v>
      </c>
      <c r="O36" s="143">
        <v>122</v>
      </c>
      <c r="Q36" s="12">
        <v>4235</v>
      </c>
      <c r="R36" s="12">
        <v>2321</v>
      </c>
    </row>
    <row r="37" spans="1:18" ht="14.9" customHeight="1" x14ac:dyDescent="0.3">
      <c r="A37" t="s">
        <v>18</v>
      </c>
      <c r="B37" s="10">
        <v>2540</v>
      </c>
      <c r="C37" s="10">
        <v>1172</v>
      </c>
      <c r="D37" s="10">
        <v>60</v>
      </c>
      <c r="E37" s="10">
        <v>2</v>
      </c>
      <c r="F37" s="10">
        <v>78</v>
      </c>
      <c r="G37" s="10">
        <v>218</v>
      </c>
      <c r="H37" s="31">
        <v>0</v>
      </c>
      <c r="I37" s="10">
        <f t="shared" si="5"/>
        <v>1530</v>
      </c>
      <c r="J37" s="10">
        <v>1248</v>
      </c>
      <c r="K37" s="285">
        <v>-4.475366679202708E-2</v>
      </c>
      <c r="L37" s="287">
        <v>-0.11713791113675708</v>
      </c>
      <c r="M37" s="22"/>
      <c r="N37" s="143">
        <v>-119</v>
      </c>
      <c r="O37" s="143">
        <v>-203</v>
      </c>
      <c r="Q37" s="12">
        <v>2659</v>
      </c>
      <c r="R37" s="12">
        <v>1733</v>
      </c>
    </row>
    <row r="38" spans="1:18" ht="14.9" customHeight="1" x14ac:dyDescent="0.3">
      <c r="A38" t="s">
        <v>19</v>
      </c>
      <c r="B38" s="10">
        <v>1971</v>
      </c>
      <c r="C38" s="10">
        <v>1081</v>
      </c>
      <c r="D38" s="10">
        <v>33</v>
      </c>
      <c r="E38" s="10">
        <v>0</v>
      </c>
      <c r="F38" s="10">
        <v>59</v>
      </c>
      <c r="G38" s="10">
        <v>111</v>
      </c>
      <c r="H38" s="31">
        <v>0</v>
      </c>
      <c r="I38" s="10">
        <f t="shared" si="5"/>
        <v>1284</v>
      </c>
      <c r="J38" s="10">
        <v>852</v>
      </c>
      <c r="K38" s="285">
        <v>9.2572062084257209E-2</v>
      </c>
      <c r="L38" s="287">
        <v>4.6454767726161368E-2</v>
      </c>
      <c r="M38" s="22"/>
      <c r="N38" s="143">
        <v>167</v>
      </c>
      <c r="O38" s="143">
        <v>57</v>
      </c>
      <c r="Q38" s="12">
        <v>1804</v>
      </c>
      <c r="R38" s="12">
        <v>1227</v>
      </c>
    </row>
    <row r="39" spans="1:18" ht="14.9" customHeight="1" x14ac:dyDescent="0.3">
      <c r="A39" t="s">
        <v>20</v>
      </c>
      <c r="B39" s="10">
        <v>1824</v>
      </c>
      <c r="C39" s="10">
        <v>1009</v>
      </c>
      <c r="D39" s="10">
        <v>48</v>
      </c>
      <c r="E39" s="10">
        <v>0</v>
      </c>
      <c r="F39" s="10">
        <v>30</v>
      </c>
      <c r="G39" s="10">
        <v>55</v>
      </c>
      <c r="H39" s="31">
        <v>0</v>
      </c>
      <c r="I39" s="10">
        <f t="shared" si="5"/>
        <v>1142</v>
      </c>
      <c r="J39" s="10">
        <v>720</v>
      </c>
      <c r="K39" s="285">
        <v>0.19842312746386334</v>
      </c>
      <c r="L39" s="287">
        <v>7.1294559099437146E-2</v>
      </c>
      <c r="M39" s="22"/>
      <c r="N39" s="143">
        <v>302</v>
      </c>
      <c r="O39" s="143">
        <v>76</v>
      </c>
      <c r="Q39" s="12">
        <v>1522</v>
      </c>
      <c r="R39" s="12">
        <v>1066</v>
      </c>
    </row>
    <row r="40" spans="1:18" ht="14.9" customHeight="1" x14ac:dyDescent="0.3">
      <c r="A40" t="s">
        <v>21</v>
      </c>
      <c r="B40" s="10">
        <v>1684</v>
      </c>
      <c r="C40" s="10">
        <v>942</v>
      </c>
      <c r="D40" s="10">
        <v>36</v>
      </c>
      <c r="E40" s="10">
        <v>0</v>
      </c>
      <c r="F40" s="10">
        <v>23</v>
      </c>
      <c r="G40" s="10">
        <v>56</v>
      </c>
      <c r="H40" s="31">
        <v>0</v>
      </c>
      <c r="I40" s="10">
        <f t="shared" si="5"/>
        <v>1057</v>
      </c>
      <c r="J40" s="10">
        <v>544</v>
      </c>
      <c r="K40" s="285">
        <v>0.16218081435472739</v>
      </c>
      <c r="L40" s="287">
        <v>6.7676767676767682E-2</v>
      </c>
      <c r="M40" s="22"/>
      <c r="N40" s="143">
        <v>235</v>
      </c>
      <c r="O40" s="143">
        <v>67</v>
      </c>
      <c r="Q40" s="12">
        <v>1449</v>
      </c>
      <c r="R40" s="12">
        <v>990</v>
      </c>
    </row>
    <row r="41" spans="1:18" ht="14.9" customHeight="1" x14ac:dyDescent="0.3">
      <c r="A41" s="4" t="s">
        <v>22</v>
      </c>
      <c r="B41" s="11">
        <v>1356</v>
      </c>
      <c r="C41" s="11">
        <v>735</v>
      </c>
      <c r="D41" s="11">
        <v>34</v>
      </c>
      <c r="E41" s="11">
        <v>0</v>
      </c>
      <c r="F41" s="11">
        <v>49</v>
      </c>
      <c r="G41" s="11">
        <v>35</v>
      </c>
      <c r="H41" s="30">
        <v>0</v>
      </c>
      <c r="I41" s="11">
        <f t="shared" si="5"/>
        <v>853</v>
      </c>
      <c r="J41" s="296">
        <v>732</v>
      </c>
      <c r="K41" s="288">
        <v>0.12344656172328086</v>
      </c>
      <c r="L41" s="289">
        <v>3.2687651331719129E-2</v>
      </c>
      <c r="M41" s="22"/>
      <c r="N41" s="169">
        <v>149</v>
      </c>
      <c r="O41" s="169">
        <v>27</v>
      </c>
      <c r="Q41" s="20">
        <v>1207</v>
      </c>
      <c r="R41" s="20">
        <v>826</v>
      </c>
    </row>
    <row r="42" spans="1:18" ht="14.9" customHeight="1" x14ac:dyDescent="0.3">
      <c r="A42" s="3" t="s">
        <v>106</v>
      </c>
      <c r="B42" s="8">
        <f>SUM(B30:B41)</f>
        <v>23054</v>
      </c>
      <c r="C42" s="8">
        <f t="shared" ref="C42:H42" si="6">SUM(C30:C41)</f>
        <v>12032</v>
      </c>
      <c r="D42" s="8">
        <f t="shared" si="6"/>
        <v>562</v>
      </c>
      <c r="E42" s="8">
        <f t="shared" si="6"/>
        <v>2</v>
      </c>
      <c r="F42" s="8">
        <f t="shared" si="6"/>
        <v>510</v>
      </c>
      <c r="G42" s="8">
        <f t="shared" si="6"/>
        <v>1623</v>
      </c>
      <c r="H42" s="31">
        <f t="shared" si="6"/>
        <v>2</v>
      </c>
      <c r="I42" s="8">
        <f>SUM(I30:I41)</f>
        <v>14729</v>
      </c>
      <c r="J42" s="8">
        <f>SUM(J30:J41)</f>
        <v>9774</v>
      </c>
      <c r="K42" s="285">
        <v>4.4254201204873854E-2</v>
      </c>
      <c r="L42" s="287">
        <v>1.7196132596685083E-2</v>
      </c>
      <c r="M42" s="22"/>
      <c r="N42" s="143">
        <v>977</v>
      </c>
      <c r="O42" s="143">
        <v>249</v>
      </c>
      <c r="Q42" s="12">
        <v>22077</v>
      </c>
      <c r="R42" s="12">
        <v>14480</v>
      </c>
    </row>
    <row r="43" spans="1:18" ht="14.9" customHeight="1" x14ac:dyDescent="0.3">
      <c r="A43" s="5" t="s">
        <v>93</v>
      </c>
      <c r="B43" s="9">
        <v>22077</v>
      </c>
      <c r="C43" s="9">
        <v>12264</v>
      </c>
      <c r="D43" s="9">
        <v>592</v>
      </c>
      <c r="E43" s="9">
        <v>4</v>
      </c>
      <c r="F43" s="9">
        <v>272</v>
      </c>
      <c r="G43" s="9">
        <v>1348</v>
      </c>
      <c r="H43" s="9">
        <v>3</v>
      </c>
      <c r="I43" s="9">
        <v>14480</v>
      </c>
      <c r="J43" s="9">
        <v>8092</v>
      </c>
      <c r="K43" s="47">
        <v>-8.1731969054155224E-2</v>
      </c>
      <c r="L43" s="120">
        <v>-7.227063044592516E-2</v>
      </c>
      <c r="N43" s="79"/>
      <c r="O43" s="79"/>
    </row>
    <row r="44" spans="1:18" ht="14.9" customHeight="1" x14ac:dyDescent="0.3">
      <c r="A44" s="5" t="s">
        <v>23</v>
      </c>
      <c r="B44" s="9">
        <f t="shared" ref="B44:J44" si="7">B42-B43</f>
        <v>977</v>
      </c>
      <c r="C44" s="9">
        <f t="shared" si="7"/>
        <v>-232</v>
      </c>
      <c r="D44" s="9">
        <f t="shared" si="7"/>
        <v>-30</v>
      </c>
      <c r="E44" s="9">
        <f t="shared" si="7"/>
        <v>-2</v>
      </c>
      <c r="F44" s="9">
        <f t="shared" si="7"/>
        <v>238</v>
      </c>
      <c r="G44" s="9">
        <f t="shared" si="7"/>
        <v>275</v>
      </c>
      <c r="H44" s="30">
        <f t="shared" si="7"/>
        <v>-1</v>
      </c>
      <c r="I44" s="9">
        <f t="shared" si="7"/>
        <v>249</v>
      </c>
      <c r="J44" s="9">
        <f t="shared" si="7"/>
        <v>1682</v>
      </c>
      <c r="K44" s="19"/>
      <c r="L44" s="121"/>
    </row>
    <row r="45" spans="1:18" ht="14.9" customHeight="1" x14ac:dyDescent="0.25"/>
    <row r="46" spans="1:18" ht="14.9" customHeight="1" thickBot="1" x14ac:dyDescent="0.3"/>
    <row r="47" spans="1:18" ht="14.9" customHeight="1" x14ac:dyDescent="0.25">
      <c r="B47" s="368"/>
      <c r="C47" s="369"/>
      <c r="D47" s="369"/>
      <c r="E47" s="369"/>
      <c r="F47" s="369"/>
      <c r="G47" s="369"/>
      <c r="H47" s="369"/>
      <c r="I47" s="370"/>
    </row>
    <row r="48" spans="1:18" ht="18" x14ac:dyDescent="0.25">
      <c r="B48" s="371"/>
      <c r="D48" s="335" t="s">
        <v>166</v>
      </c>
      <c r="I48" s="372"/>
    </row>
    <row r="49" spans="1:18" ht="14.9" customHeight="1" thickBot="1" x14ac:dyDescent="0.3">
      <c r="B49" s="373"/>
      <c r="C49" s="374"/>
      <c r="D49" s="374"/>
      <c r="E49" s="374"/>
      <c r="F49" s="374"/>
      <c r="G49" s="374"/>
      <c r="H49" s="374"/>
      <c r="I49" s="375"/>
    </row>
    <row r="50" spans="1:18" ht="14.9" customHeight="1" x14ac:dyDescent="0.25"/>
    <row r="51" spans="1:18" ht="14.9" customHeight="1" x14ac:dyDescent="0.3">
      <c r="A51" s="1" t="s">
        <v>0</v>
      </c>
      <c r="B51" s="2" t="s">
        <v>1</v>
      </c>
      <c r="C51" s="2" t="s">
        <v>2</v>
      </c>
      <c r="D51" s="2" t="s">
        <v>3</v>
      </c>
      <c r="E51" s="2" t="s">
        <v>4</v>
      </c>
      <c r="F51" s="2" t="s">
        <v>5</v>
      </c>
      <c r="G51" s="2" t="s">
        <v>6</v>
      </c>
      <c r="H51" s="32" t="s">
        <v>7</v>
      </c>
      <c r="I51" s="1" t="s">
        <v>8</v>
      </c>
      <c r="J51" s="2" t="s">
        <v>10</v>
      </c>
      <c r="K51" s="2" t="s">
        <v>1</v>
      </c>
      <c r="L51" s="2" t="s">
        <v>9</v>
      </c>
      <c r="N51" s="3" t="s">
        <v>129</v>
      </c>
      <c r="O51" s="3" t="s">
        <v>130</v>
      </c>
      <c r="Q51" s="3" t="s">
        <v>103</v>
      </c>
      <c r="R51" s="3" t="s">
        <v>104</v>
      </c>
    </row>
    <row r="52" spans="1:18" ht="14.9" customHeight="1" x14ac:dyDescent="0.3">
      <c r="A52" t="s">
        <v>11</v>
      </c>
      <c r="B52" s="10">
        <v>1365</v>
      </c>
      <c r="C52" s="10">
        <v>726</v>
      </c>
      <c r="D52" s="10">
        <v>48</v>
      </c>
      <c r="E52" s="10">
        <v>0</v>
      </c>
      <c r="F52" s="10">
        <v>52</v>
      </c>
      <c r="G52" s="10">
        <v>12</v>
      </c>
      <c r="H52" s="31">
        <v>0</v>
      </c>
      <c r="I52" s="10">
        <f>SUM(C52:G52)</f>
        <v>838</v>
      </c>
      <c r="J52" s="10">
        <v>896</v>
      </c>
      <c r="K52" s="285">
        <f>N52/Q52</f>
        <v>5.8960434445306437E-2</v>
      </c>
      <c r="L52" s="286">
        <f>O52/R52</f>
        <v>-3.8990825688073397E-2</v>
      </c>
      <c r="N52" s="143">
        <f>B52-Q52</f>
        <v>76</v>
      </c>
      <c r="O52" s="143">
        <f>I52-R52</f>
        <v>-34</v>
      </c>
      <c r="Q52" s="12">
        <v>1289</v>
      </c>
      <c r="R52" s="12">
        <v>872</v>
      </c>
    </row>
    <row r="53" spans="1:18" ht="14.9" customHeight="1" x14ac:dyDescent="0.3">
      <c r="A53" t="s">
        <v>12</v>
      </c>
      <c r="B53" s="10">
        <v>1081</v>
      </c>
      <c r="C53" s="10">
        <v>606</v>
      </c>
      <c r="D53" s="10">
        <v>36</v>
      </c>
      <c r="E53" s="10">
        <v>0</v>
      </c>
      <c r="F53" s="10">
        <v>24</v>
      </c>
      <c r="G53" s="10">
        <v>14</v>
      </c>
      <c r="H53" s="31">
        <v>0</v>
      </c>
      <c r="I53" s="10">
        <f t="shared" ref="I53:I63" si="8">SUM(C53:G53)</f>
        <v>680</v>
      </c>
      <c r="J53" s="10">
        <v>552</v>
      </c>
      <c r="K53" s="285">
        <f>N53/Q53</f>
        <v>0.1775599128540305</v>
      </c>
      <c r="L53" s="287">
        <f t="shared" ref="L53:L64" si="9">O53/R53</f>
        <v>3.0303030303030304E-2</v>
      </c>
      <c r="N53" s="143">
        <f>B53-Q53</f>
        <v>163</v>
      </c>
      <c r="O53" s="143">
        <f t="shared" ref="O53:O63" si="10">I53-R53</f>
        <v>20</v>
      </c>
      <c r="Q53" s="12">
        <v>918</v>
      </c>
      <c r="R53" s="12">
        <v>660</v>
      </c>
    </row>
    <row r="54" spans="1:18" ht="14.9" customHeight="1" x14ac:dyDescent="0.3">
      <c r="A54" t="s">
        <v>13</v>
      </c>
      <c r="B54" s="10">
        <v>1436</v>
      </c>
      <c r="C54" s="10">
        <v>770</v>
      </c>
      <c r="D54" s="10">
        <v>48</v>
      </c>
      <c r="E54" s="10">
        <v>0</v>
      </c>
      <c r="F54" s="10">
        <v>23</v>
      </c>
      <c r="G54" s="10">
        <v>28</v>
      </c>
      <c r="H54" s="31">
        <v>0</v>
      </c>
      <c r="I54" s="10">
        <f t="shared" si="8"/>
        <v>869</v>
      </c>
      <c r="J54" s="10">
        <v>664</v>
      </c>
      <c r="K54" s="285">
        <f>N54/Q54</f>
        <v>9.7020626432391135E-2</v>
      </c>
      <c r="L54" s="287">
        <f t="shared" si="9"/>
        <v>-4.4004400440044007E-2</v>
      </c>
      <c r="N54" s="143">
        <f>B54-Q54</f>
        <v>127</v>
      </c>
      <c r="O54" s="143">
        <f t="shared" si="10"/>
        <v>-40</v>
      </c>
      <c r="Q54" s="12">
        <v>1309</v>
      </c>
      <c r="R54" s="12">
        <v>909</v>
      </c>
    </row>
    <row r="55" spans="1:18" ht="14.9" customHeight="1" x14ac:dyDescent="0.3">
      <c r="A55" t="s">
        <v>14</v>
      </c>
      <c r="B55" s="10">
        <v>1863</v>
      </c>
      <c r="C55" s="10">
        <v>967</v>
      </c>
      <c r="D55" s="10">
        <v>86</v>
      </c>
      <c r="E55" s="10">
        <v>0</v>
      </c>
      <c r="F55" s="10">
        <v>49</v>
      </c>
      <c r="G55" s="10">
        <v>61</v>
      </c>
      <c r="H55" s="31">
        <v>0</v>
      </c>
      <c r="I55" s="10">
        <f t="shared" si="8"/>
        <v>1163</v>
      </c>
      <c r="J55" s="10">
        <v>1252</v>
      </c>
      <c r="K55" s="285">
        <f>N55/Q55</f>
        <v>0.18586887332908975</v>
      </c>
      <c r="L55" s="287">
        <f t="shared" si="9"/>
        <v>0.1118546845124283</v>
      </c>
      <c r="N55" s="143">
        <f>B55-Q55</f>
        <v>292</v>
      </c>
      <c r="O55" s="143">
        <f t="shared" si="10"/>
        <v>117</v>
      </c>
      <c r="Q55" s="12">
        <v>1571</v>
      </c>
      <c r="R55" s="12">
        <v>1046</v>
      </c>
    </row>
    <row r="56" spans="1:18" ht="14.9" customHeight="1" x14ac:dyDescent="0.3">
      <c r="A56" t="s">
        <v>15</v>
      </c>
      <c r="B56" s="10">
        <v>1937</v>
      </c>
      <c r="C56" s="10">
        <v>969</v>
      </c>
      <c r="D56" s="10">
        <v>83</v>
      </c>
      <c r="E56" s="10">
        <v>2</v>
      </c>
      <c r="F56" s="10">
        <v>65</v>
      </c>
      <c r="G56" s="10">
        <v>94</v>
      </c>
      <c r="H56" s="31">
        <v>0</v>
      </c>
      <c r="I56" s="10">
        <f t="shared" si="8"/>
        <v>1213</v>
      </c>
      <c r="J56" s="10">
        <v>1374</v>
      </c>
      <c r="K56" s="285">
        <f t="shared" ref="K56:K63" si="11">N56/Q56</f>
        <v>2.1624472573839662E-2</v>
      </c>
      <c r="L56" s="287">
        <f t="shared" si="9"/>
        <v>-5.6765163297045104E-2</v>
      </c>
      <c r="N56" s="143">
        <f t="shared" ref="N56:N63" si="12">B56-Q56</f>
        <v>41</v>
      </c>
      <c r="O56" s="143">
        <f t="shared" si="10"/>
        <v>-73</v>
      </c>
      <c r="Q56" s="12">
        <v>1896</v>
      </c>
      <c r="R56" s="12">
        <v>1286</v>
      </c>
    </row>
    <row r="57" spans="1:18" ht="14.9" customHeight="1" x14ac:dyDescent="0.3">
      <c r="A57" t="s">
        <v>16</v>
      </c>
      <c r="B57" s="10">
        <v>2480</v>
      </c>
      <c r="C57" s="10">
        <v>1151</v>
      </c>
      <c r="D57" s="10">
        <v>49</v>
      </c>
      <c r="E57" s="10">
        <v>0</v>
      </c>
      <c r="F57" s="10">
        <v>27</v>
      </c>
      <c r="G57" s="10">
        <v>350</v>
      </c>
      <c r="H57" s="31">
        <v>11</v>
      </c>
      <c r="I57" s="10">
        <f t="shared" si="8"/>
        <v>1577</v>
      </c>
      <c r="J57" s="10">
        <v>706</v>
      </c>
      <c r="K57" s="285">
        <f t="shared" si="11"/>
        <v>-3.0492572322126661E-2</v>
      </c>
      <c r="L57" s="287">
        <f t="shared" si="9"/>
        <v>-4.2501517911353974E-2</v>
      </c>
      <c r="N57" s="143">
        <f t="shared" si="12"/>
        <v>-78</v>
      </c>
      <c r="O57" s="143">
        <f t="shared" si="10"/>
        <v>-70</v>
      </c>
      <c r="Q57" s="12">
        <v>2558</v>
      </c>
      <c r="R57" s="12">
        <v>1647</v>
      </c>
    </row>
    <row r="58" spans="1:18" ht="14.9" customHeight="1" x14ac:dyDescent="0.3">
      <c r="A58" t="s">
        <v>17</v>
      </c>
      <c r="B58" s="10">
        <v>4701</v>
      </c>
      <c r="C58" s="10">
        <v>1818</v>
      </c>
      <c r="D58" s="10">
        <v>96</v>
      </c>
      <c r="E58" s="10">
        <v>0</v>
      </c>
      <c r="F58" s="10">
        <v>52</v>
      </c>
      <c r="G58" s="10">
        <v>566</v>
      </c>
      <c r="H58" s="31">
        <v>0</v>
      </c>
      <c r="I58" s="10">
        <f t="shared" si="8"/>
        <v>2532</v>
      </c>
      <c r="J58" s="10">
        <v>1376</v>
      </c>
      <c r="K58" s="285">
        <f t="shared" si="11"/>
        <v>0.1360560657322378</v>
      </c>
      <c r="L58" s="287">
        <f t="shared" si="9"/>
        <v>3.6430618092509207E-2</v>
      </c>
      <c r="N58" s="143">
        <f t="shared" si="12"/>
        <v>563</v>
      </c>
      <c r="O58" s="143">
        <f t="shared" si="10"/>
        <v>89</v>
      </c>
      <c r="Q58" s="12">
        <v>4138</v>
      </c>
      <c r="R58" s="12">
        <v>2443</v>
      </c>
    </row>
    <row r="59" spans="1:18" ht="14.9" customHeight="1" x14ac:dyDescent="0.3">
      <c r="A59" t="s">
        <v>18</v>
      </c>
      <c r="B59" s="10">
        <v>2491</v>
      </c>
      <c r="C59" s="10">
        <v>1144</v>
      </c>
      <c r="D59" s="10">
        <v>47</v>
      </c>
      <c r="E59" s="10">
        <v>0</v>
      </c>
      <c r="F59" s="10">
        <v>66</v>
      </c>
      <c r="G59" s="10">
        <v>344</v>
      </c>
      <c r="H59" s="31">
        <v>0</v>
      </c>
      <c r="I59" s="10">
        <f t="shared" si="8"/>
        <v>1601</v>
      </c>
      <c r="J59" s="10">
        <v>998</v>
      </c>
      <c r="K59" s="285">
        <f t="shared" si="11"/>
        <v>-1.9291338582677165E-2</v>
      </c>
      <c r="L59" s="287">
        <f t="shared" si="9"/>
        <v>4.6405228758169936E-2</v>
      </c>
      <c r="N59" s="143">
        <f t="shared" si="12"/>
        <v>-49</v>
      </c>
      <c r="O59" s="143">
        <f t="shared" si="10"/>
        <v>71</v>
      </c>
      <c r="Q59" s="12">
        <v>2540</v>
      </c>
      <c r="R59" s="12">
        <v>1530</v>
      </c>
    </row>
    <row r="60" spans="1:18" ht="14.9" customHeight="1" x14ac:dyDescent="0.3">
      <c r="A60" t="s">
        <v>19</v>
      </c>
      <c r="B60" s="10">
        <v>1614</v>
      </c>
      <c r="C60" s="10">
        <v>860</v>
      </c>
      <c r="D60" s="10">
        <v>53</v>
      </c>
      <c r="E60" s="10">
        <v>2</v>
      </c>
      <c r="F60" s="10">
        <v>50</v>
      </c>
      <c r="G60" s="10">
        <v>73</v>
      </c>
      <c r="H60" s="31">
        <v>0</v>
      </c>
      <c r="I60" s="10">
        <f t="shared" si="8"/>
        <v>1038</v>
      </c>
      <c r="J60" s="10">
        <v>954</v>
      </c>
      <c r="K60" s="285">
        <f t="shared" si="11"/>
        <v>-0.18112633181126331</v>
      </c>
      <c r="L60" s="287">
        <f t="shared" si="9"/>
        <v>-0.19158878504672897</v>
      </c>
      <c r="N60" s="143">
        <f t="shared" si="12"/>
        <v>-357</v>
      </c>
      <c r="O60" s="143">
        <f t="shared" si="10"/>
        <v>-246</v>
      </c>
      <c r="Q60" s="12">
        <v>1971</v>
      </c>
      <c r="R60" s="12">
        <v>1284</v>
      </c>
    </row>
    <row r="61" spans="1:18" ht="14.9" customHeight="1" x14ac:dyDescent="0.3">
      <c r="A61" t="s">
        <v>20</v>
      </c>
      <c r="B61" s="10">
        <v>1676</v>
      </c>
      <c r="C61" s="10">
        <v>916</v>
      </c>
      <c r="D61" s="10">
        <v>52</v>
      </c>
      <c r="E61" s="10">
        <v>0</v>
      </c>
      <c r="F61" s="10">
        <v>25</v>
      </c>
      <c r="G61" s="10">
        <v>76</v>
      </c>
      <c r="H61" s="31">
        <v>0</v>
      </c>
      <c r="I61" s="10">
        <f t="shared" si="8"/>
        <v>1069</v>
      </c>
      <c r="J61" s="10">
        <v>720</v>
      </c>
      <c r="K61" s="285">
        <f t="shared" si="11"/>
        <v>-8.1140350877192985E-2</v>
      </c>
      <c r="L61" s="287">
        <f t="shared" si="9"/>
        <v>-6.3922942206654995E-2</v>
      </c>
      <c r="N61" s="143">
        <f t="shared" si="12"/>
        <v>-148</v>
      </c>
      <c r="O61" s="143">
        <f t="shared" si="10"/>
        <v>-73</v>
      </c>
      <c r="Q61" s="12">
        <v>1824</v>
      </c>
      <c r="R61" s="12">
        <v>1142</v>
      </c>
    </row>
    <row r="62" spans="1:18" ht="14.9" customHeight="1" x14ac:dyDescent="0.3">
      <c r="A62" t="s">
        <v>21</v>
      </c>
      <c r="B62" s="10">
        <v>1367</v>
      </c>
      <c r="C62" s="10">
        <v>743</v>
      </c>
      <c r="D62" s="10">
        <v>41</v>
      </c>
      <c r="E62" s="10">
        <v>0</v>
      </c>
      <c r="F62" s="10">
        <v>13</v>
      </c>
      <c r="G62" s="10">
        <v>35</v>
      </c>
      <c r="H62" s="31">
        <v>0</v>
      </c>
      <c r="I62" s="10">
        <f t="shared" si="8"/>
        <v>832</v>
      </c>
      <c r="J62" s="10">
        <v>514</v>
      </c>
      <c r="K62" s="285">
        <f t="shared" si="11"/>
        <v>-0.18824228028503562</v>
      </c>
      <c r="L62" s="287">
        <f t="shared" si="9"/>
        <v>-0.21286660359508042</v>
      </c>
      <c r="N62" s="143">
        <f t="shared" si="12"/>
        <v>-317</v>
      </c>
      <c r="O62" s="143">
        <f t="shared" si="10"/>
        <v>-225</v>
      </c>
      <c r="Q62" s="12">
        <v>1684</v>
      </c>
      <c r="R62" s="12">
        <v>1057</v>
      </c>
    </row>
    <row r="63" spans="1:18" ht="14.9" customHeight="1" x14ac:dyDescent="0.3">
      <c r="A63" s="4" t="s">
        <v>22</v>
      </c>
      <c r="B63" s="11">
        <v>1211</v>
      </c>
      <c r="C63" s="11">
        <v>682</v>
      </c>
      <c r="D63" s="11">
        <v>32</v>
      </c>
      <c r="E63" s="11">
        <v>0</v>
      </c>
      <c r="F63" s="11">
        <v>4</v>
      </c>
      <c r="G63" s="11">
        <v>27</v>
      </c>
      <c r="H63" s="30">
        <v>0</v>
      </c>
      <c r="I63" s="11">
        <f t="shared" si="8"/>
        <v>745</v>
      </c>
      <c r="J63" s="296">
        <v>352</v>
      </c>
      <c r="K63" s="288">
        <f t="shared" si="11"/>
        <v>-0.10693215339233038</v>
      </c>
      <c r="L63" s="289">
        <f t="shared" si="9"/>
        <v>-0.12661195779601406</v>
      </c>
      <c r="N63" s="169">
        <f t="shared" si="12"/>
        <v>-145</v>
      </c>
      <c r="O63" s="169">
        <f t="shared" si="10"/>
        <v>-108</v>
      </c>
      <c r="Q63" s="20">
        <v>1356</v>
      </c>
      <c r="R63" s="20">
        <v>853</v>
      </c>
    </row>
    <row r="64" spans="1:18" ht="14.9" customHeight="1" x14ac:dyDescent="0.3">
      <c r="A64" s="3" t="s">
        <v>131</v>
      </c>
      <c r="B64" s="8">
        <f>SUM(B52:B63)</f>
        <v>23222</v>
      </c>
      <c r="C64" s="8">
        <f t="shared" ref="C64:H64" si="13">SUM(C52:C63)</f>
        <v>11352</v>
      </c>
      <c r="D64" s="8">
        <f t="shared" si="13"/>
        <v>671</v>
      </c>
      <c r="E64" s="8">
        <f t="shared" si="13"/>
        <v>4</v>
      </c>
      <c r="F64" s="8">
        <f t="shared" si="13"/>
        <v>450</v>
      </c>
      <c r="G64" s="8">
        <f t="shared" si="13"/>
        <v>1680</v>
      </c>
      <c r="H64" s="31">
        <f t="shared" si="13"/>
        <v>11</v>
      </c>
      <c r="I64" s="8">
        <f>SUM(I52:I63)</f>
        <v>14157</v>
      </c>
      <c r="J64" s="8">
        <f>SUM(J52:J63)</f>
        <v>10358</v>
      </c>
      <c r="K64" s="285">
        <f>N64/Q64</f>
        <v>7.2872386570660185E-3</v>
      </c>
      <c r="L64" s="287">
        <f t="shared" si="9"/>
        <v>-3.8834951456310676E-2</v>
      </c>
      <c r="N64" s="143">
        <f>SUM(N52:N63)</f>
        <v>168</v>
      </c>
      <c r="O64" s="143">
        <f>SUM(O52:O63)</f>
        <v>-572</v>
      </c>
      <c r="Q64" s="12">
        <f>SUM(Q52:Q63)</f>
        <v>23054</v>
      </c>
      <c r="R64" s="12">
        <f>SUM(R52:R63)</f>
        <v>14729</v>
      </c>
    </row>
    <row r="65" spans="1:18" ht="14.9" customHeight="1" x14ac:dyDescent="0.3">
      <c r="A65" s="5" t="s">
        <v>106</v>
      </c>
      <c r="B65" s="9">
        <v>23054</v>
      </c>
      <c r="C65" s="9">
        <v>12032</v>
      </c>
      <c r="D65" s="9">
        <v>562</v>
      </c>
      <c r="E65" s="9">
        <v>2</v>
      </c>
      <c r="F65" s="9">
        <v>510</v>
      </c>
      <c r="G65" s="9">
        <v>1623</v>
      </c>
      <c r="H65" s="9">
        <v>2</v>
      </c>
      <c r="I65" s="9">
        <v>14729</v>
      </c>
      <c r="J65" s="9">
        <v>9774</v>
      </c>
      <c r="K65" s="47">
        <v>-8.1731969054155224E-2</v>
      </c>
      <c r="L65" s="120">
        <v>-7.227063044592516E-2</v>
      </c>
    </row>
    <row r="66" spans="1:18" ht="14.9" customHeight="1" x14ac:dyDescent="0.3">
      <c r="A66" s="5" t="s">
        <v>23</v>
      </c>
      <c r="B66" s="9">
        <f t="shared" ref="B66:J66" si="14">B64-B65</f>
        <v>168</v>
      </c>
      <c r="C66" s="9">
        <f t="shared" si="14"/>
        <v>-680</v>
      </c>
      <c r="D66" s="9">
        <f t="shared" si="14"/>
        <v>109</v>
      </c>
      <c r="E66" s="9">
        <f t="shared" si="14"/>
        <v>2</v>
      </c>
      <c r="F66" s="9">
        <f t="shared" si="14"/>
        <v>-60</v>
      </c>
      <c r="G66" s="9">
        <f t="shared" si="14"/>
        <v>57</v>
      </c>
      <c r="H66" s="30">
        <f t="shared" si="14"/>
        <v>9</v>
      </c>
      <c r="I66" s="9">
        <f t="shared" si="14"/>
        <v>-572</v>
      </c>
      <c r="J66" s="9">
        <f t="shared" si="14"/>
        <v>584</v>
      </c>
      <c r="K66" s="19"/>
      <c r="L66" s="121"/>
    </row>
    <row r="67" spans="1:18" ht="14.9" customHeight="1" thickBot="1" x14ac:dyDescent="0.3"/>
    <row r="68" spans="1:18" ht="14.9" customHeight="1" x14ac:dyDescent="0.25">
      <c r="B68" s="368"/>
      <c r="C68" s="369"/>
      <c r="D68" s="369"/>
      <c r="E68" s="369"/>
      <c r="F68" s="369"/>
      <c r="G68" s="369"/>
      <c r="H68" s="369"/>
      <c r="I68" s="370"/>
    </row>
    <row r="69" spans="1:18" ht="18" x14ac:dyDescent="0.25">
      <c r="B69" s="371"/>
      <c r="D69" s="335" t="s">
        <v>167</v>
      </c>
      <c r="I69" s="372"/>
    </row>
    <row r="70" spans="1:18" ht="14.9" customHeight="1" thickBot="1" x14ac:dyDescent="0.3">
      <c r="B70" s="373"/>
      <c r="C70" s="374"/>
      <c r="D70" s="374"/>
      <c r="E70" s="374"/>
      <c r="F70" s="374"/>
      <c r="G70" s="374"/>
      <c r="H70" s="374"/>
      <c r="I70" s="375"/>
    </row>
    <row r="71" spans="1:18" ht="14.9" customHeight="1" x14ac:dyDescent="0.25"/>
    <row r="72" spans="1:18" ht="14.9" customHeight="1" x14ac:dyDescent="0.3">
      <c r="A72" s="1" t="s">
        <v>0</v>
      </c>
      <c r="B72" s="2" t="s">
        <v>1</v>
      </c>
      <c r="C72" s="2" t="s">
        <v>2</v>
      </c>
      <c r="D72" s="2" t="s">
        <v>3</v>
      </c>
      <c r="E72" s="2" t="s">
        <v>4</v>
      </c>
      <c r="F72" s="2" t="s">
        <v>5</v>
      </c>
      <c r="G72" s="2" t="s">
        <v>6</v>
      </c>
      <c r="H72" s="32" t="s">
        <v>7</v>
      </c>
      <c r="I72" s="1" t="s">
        <v>8</v>
      </c>
      <c r="J72" s="2" t="s">
        <v>10</v>
      </c>
      <c r="K72" s="2" t="s">
        <v>1</v>
      </c>
      <c r="L72" s="2" t="s">
        <v>9</v>
      </c>
      <c r="N72" s="3" t="s">
        <v>135</v>
      </c>
      <c r="O72" s="3" t="s">
        <v>136</v>
      </c>
      <c r="Q72" s="3" t="s">
        <v>129</v>
      </c>
      <c r="R72" s="3" t="s">
        <v>130</v>
      </c>
    </row>
    <row r="73" spans="1:18" ht="14.9" customHeight="1" x14ac:dyDescent="0.3">
      <c r="A73" t="s">
        <v>11</v>
      </c>
      <c r="B73" s="10">
        <v>1267</v>
      </c>
      <c r="C73" s="10">
        <v>716</v>
      </c>
      <c r="D73" s="10">
        <v>40</v>
      </c>
      <c r="E73" s="10">
        <v>0</v>
      </c>
      <c r="F73" s="10">
        <v>47</v>
      </c>
      <c r="G73" s="10">
        <v>26</v>
      </c>
      <c r="H73" s="31">
        <v>0</v>
      </c>
      <c r="I73" s="10">
        <f>SUM(C73:G73)</f>
        <v>829</v>
      </c>
      <c r="J73" s="10">
        <v>776</v>
      </c>
      <c r="K73" s="285">
        <f>N73/Q73</f>
        <v>-7.179487179487179E-2</v>
      </c>
      <c r="L73" s="286">
        <f>O73/R73</f>
        <v>-1.0739856801909307E-2</v>
      </c>
      <c r="N73" s="143">
        <f>B73-Q73</f>
        <v>-98</v>
      </c>
      <c r="O73" s="143">
        <f>I73-R73</f>
        <v>-9</v>
      </c>
      <c r="Q73" s="12">
        <v>1365</v>
      </c>
      <c r="R73" s="10">
        <v>838</v>
      </c>
    </row>
    <row r="74" spans="1:18" ht="14.9" customHeight="1" x14ac:dyDescent="0.3">
      <c r="A74" t="s">
        <v>12</v>
      </c>
      <c r="B74" s="10">
        <v>1044</v>
      </c>
      <c r="C74" s="10">
        <v>642</v>
      </c>
      <c r="D74" s="10">
        <v>30</v>
      </c>
      <c r="E74" s="10">
        <v>0</v>
      </c>
      <c r="F74" s="10">
        <v>2</v>
      </c>
      <c r="G74" s="10">
        <v>17</v>
      </c>
      <c r="H74" s="31">
        <v>0</v>
      </c>
      <c r="I74" s="10">
        <f t="shared" ref="I74:I84" si="15">SUM(C74:G74)</f>
        <v>691</v>
      </c>
      <c r="J74" s="10">
        <v>316</v>
      </c>
      <c r="K74" s="285">
        <f>N74/Q74</f>
        <v>-3.4227567067530065E-2</v>
      </c>
      <c r="L74" s="287">
        <f t="shared" ref="L74:L85" si="16">O74/R74</f>
        <v>1.6176470588235296E-2</v>
      </c>
      <c r="N74" s="143">
        <f>B74-Q74</f>
        <v>-37</v>
      </c>
      <c r="O74" s="143">
        <f t="shared" ref="O74:O84" si="17">I74-R74</f>
        <v>11</v>
      </c>
      <c r="Q74" s="12">
        <v>1081</v>
      </c>
      <c r="R74" s="10">
        <v>680</v>
      </c>
    </row>
    <row r="75" spans="1:18" ht="14.9" customHeight="1" x14ac:dyDescent="0.3">
      <c r="A75" t="s">
        <v>13</v>
      </c>
      <c r="B75" s="10">
        <v>1250</v>
      </c>
      <c r="C75" s="10">
        <v>757</v>
      </c>
      <c r="D75" s="10">
        <v>42</v>
      </c>
      <c r="E75" s="10">
        <v>0</v>
      </c>
      <c r="F75" s="10">
        <v>15</v>
      </c>
      <c r="G75" s="10">
        <v>50</v>
      </c>
      <c r="H75" s="31">
        <v>0</v>
      </c>
      <c r="I75" s="10">
        <f t="shared" si="15"/>
        <v>864</v>
      </c>
      <c r="J75" s="10">
        <v>540</v>
      </c>
      <c r="K75" s="285">
        <f>N75/Q75</f>
        <v>-0.12952646239554316</v>
      </c>
      <c r="L75" s="287">
        <f t="shared" si="16"/>
        <v>-5.7537399309551211E-3</v>
      </c>
      <c r="N75" s="143">
        <f>B75-Q75</f>
        <v>-186</v>
      </c>
      <c r="O75" s="143">
        <f t="shared" si="17"/>
        <v>-5</v>
      </c>
      <c r="Q75" s="12">
        <v>1436</v>
      </c>
      <c r="R75" s="10">
        <v>869</v>
      </c>
    </row>
    <row r="76" spans="1:18" ht="14.9" customHeight="1" x14ac:dyDescent="0.3">
      <c r="A76" t="s">
        <v>14</v>
      </c>
      <c r="B76" s="10">
        <v>1179</v>
      </c>
      <c r="C76" s="10">
        <v>715</v>
      </c>
      <c r="D76" s="10">
        <v>44</v>
      </c>
      <c r="E76" s="10">
        <v>0</v>
      </c>
      <c r="F76" s="10">
        <v>63</v>
      </c>
      <c r="G76" s="10">
        <v>73</v>
      </c>
      <c r="H76" s="31">
        <v>0</v>
      </c>
      <c r="I76" s="10">
        <f t="shared" si="15"/>
        <v>895</v>
      </c>
      <c r="J76" s="10">
        <v>944</v>
      </c>
      <c r="K76" s="285">
        <f>N76/Q76</f>
        <v>-0.3671497584541063</v>
      </c>
      <c r="L76" s="287">
        <f t="shared" si="16"/>
        <v>-0.23043852106620807</v>
      </c>
      <c r="N76" s="143">
        <f>B76-Q76</f>
        <v>-684</v>
      </c>
      <c r="O76" s="143">
        <f t="shared" si="17"/>
        <v>-268</v>
      </c>
      <c r="Q76" s="12">
        <v>1863</v>
      </c>
      <c r="R76" s="10">
        <v>1163</v>
      </c>
    </row>
    <row r="77" spans="1:18" ht="14.9" customHeight="1" x14ac:dyDescent="0.3">
      <c r="A77" t="s">
        <v>15</v>
      </c>
      <c r="B77" s="10">
        <v>1676</v>
      </c>
      <c r="C77" s="10">
        <v>945</v>
      </c>
      <c r="D77" s="10">
        <v>51</v>
      </c>
      <c r="E77" s="10">
        <v>0</v>
      </c>
      <c r="F77" s="10">
        <v>71</v>
      </c>
      <c r="G77" s="10">
        <v>109</v>
      </c>
      <c r="H77" s="31">
        <v>0</v>
      </c>
      <c r="I77" s="10">
        <f t="shared" si="15"/>
        <v>1176</v>
      </c>
      <c r="J77" s="10">
        <v>1078</v>
      </c>
      <c r="K77" s="285">
        <f t="shared" ref="K77:K84" si="18">N77/Q77</f>
        <v>-0.13474445018069178</v>
      </c>
      <c r="L77" s="287">
        <f t="shared" si="16"/>
        <v>-3.0502885408079144E-2</v>
      </c>
      <c r="N77" s="143">
        <f t="shared" ref="N77:N84" si="19">B77-Q77</f>
        <v>-261</v>
      </c>
      <c r="O77" s="143">
        <f t="shared" si="17"/>
        <v>-37</v>
      </c>
      <c r="Q77" s="12">
        <v>1937</v>
      </c>
      <c r="R77" s="10">
        <v>1213</v>
      </c>
    </row>
    <row r="78" spans="1:18" ht="14.9" customHeight="1" x14ac:dyDescent="0.3">
      <c r="A78" t="s">
        <v>16</v>
      </c>
      <c r="B78" s="10">
        <v>2176</v>
      </c>
      <c r="C78" s="10">
        <v>1123</v>
      </c>
      <c r="D78" s="10">
        <v>48</v>
      </c>
      <c r="E78" s="10">
        <v>0</v>
      </c>
      <c r="F78" s="10">
        <v>25</v>
      </c>
      <c r="G78" s="10">
        <v>264</v>
      </c>
      <c r="H78" s="31">
        <v>0</v>
      </c>
      <c r="I78" s="10">
        <f t="shared" si="15"/>
        <v>1460</v>
      </c>
      <c r="J78" s="10">
        <v>680</v>
      </c>
      <c r="K78" s="285">
        <f t="shared" si="18"/>
        <v>-0.12258064516129032</v>
      </c>
      <c r="L78" s="287">
        <f t="shared" si="16"/>
        <v>-7.4191502853519345E-2</v>
      </c>
      <c r="N78" s="143">
        <f t="shared" si="19"/>
        <v>-304</v>
      </c>
      <c r="O78" s="143">
        <f t="shared" si="17"/>
        <v>-117</v>
      </c>
      <c r="Q78" s="12">
        <v>2480</v>
      </c>
      <c r="R78" s="10">
        <v>1577</v>
      </c>
    </row>
    <row r="79" spans="1:18" ht="14.9" customHeight="1" x14ac:dyDescent="0.3">
      <c r="A79" t="s">
        <v>17</v>
      </c>
      <c r="B79" s="10">
        <v>3725</v>
      </c>
      <c r="C79" s="10">
        <v>1629</v>
      </c>
      <c r="D79" s="10">
        <v>91</v>
      </c>
      <c r="E79" s="10">
        <v>2</v>
      </c>
      <c r="F79" s="10">
        <v>52</v>
      </c>
      <c r="G79" s="10">
        <v>541</v>
      </c>
      <c r="H79" s="31">
        <v>0</v>
      </c>
      <c r="I79" s="10">
        <f t="shared" si="15"/>
        <v>2315</v>
      </c>
      <c r="J79" s="10">
        <v>1350</v>
      </c>
      <c r="K79" s="285">
        <f t="shared" si="18"/>
        <v>-0.20761540097851522</v>
      </c>
      <c r="L79" s="287">
        <f t="shared" si="16"/>
        <v>-8.5703001579778837E-2</v>
      </c>
      <c r="N79" s="143">
        <f t="shared" si="19"/>
        <v>-976</v>
      </c>
      <c r="O79" s="143">
        <f t="shared" si="17"/>
        <v>-217</v>
      </c>
      <c r="Q79" s="12">
        <v>4701</v>
      </c>
      <c r="R79" s="10">
        <v>2532</v>
      </c>
    </row>
    <row r="80" spans="1:18" ht="14.9" customHeight="1" x14ac:dyDescent="0.3">
      <c r="A80" t="s">
        <v>18</v>
      </c>
      <c r="B80" s="10"/>
      <c r="C80" s="10"/>
      <c r="D80" s="10"/>
      <c r="E80" s="10"/>
      <c r="F80" s="10"/>
      <c r="G80" s="10"/>
      <c r="H80" s="31"/>
      <c r="I80" s="10">
        <f t="shared" si="15"/>
        <v>0</v>
      </c>
      <c r="J80" s="10"/>
      <c r="K80" s="285">
        <f t="shared" si="18"/>
        <v>-1</v>
      </c>
      <c r="L80" s="287">
        <f t="shared" si="16"/>
        <v>-1</v>
      </c>
      <c r="N80" s="143">
        <f t="shared" si="19"/>
        <v>-2491</v>
      </c>
      <c r="O80" s="143">
        <f t="shared" si="17"/>
        <v>-1601</v>
      </c>
      <c r="Q80" s="12">
        <v>2491</v>
      </c>
      <c r="R80" s="10">
        <v>1601</v>
      </c>
    </row>
    <row r="81" spans="1:18" ht="14.9" customHeight="1" x14ac:dyDescent="0.3">
      <c r="A81" t="s">
        <v>19</v>
      </c>
      <c r="B81" s="10"/>
      <c r="C81" s="10"/>
      <c r="D81" s="10"/>
      <c r="E81" s="10"/>
      <c r="F81" s="10"/>
      <c r="G81" s="10"/>
      <c r="H81" s="31"/>
      <c r="I81" s="10">
        <f t="shared" si="15"/>
        <v>0</v>
      </c>
      <c r="J81" s="10"/>
      <c r="K81" s="285">
        <f t="shared" si="18"/>
        <v>-1</v>
      </c>
      <c r="L81" s="287">
        <f t="shared" si="16"/>
        <v>-1</v>
      </c>
      <c r="N81" s="143">
        <f t="shared" si="19"/>
        <v>-1614</v>
      </c>
      <c r="O81" s="143">
        <f t="shared" si="17"/>
        <v>-1038</v>
      </c>
      <c r="Q81" s="12">
        <v>1614</v>
      </c>
      <c r="R81" s="10">
        <v>1038</v>
      </c>
    </row>
    <row r="82" spans="1:18" ht="14.9" customHeight="1" x14ac:dyDescent="0.3">
      <c r="A82" t="s">
        <v>20</v>
      </c>
      <c r="B82" s="10"/>
      <c r="C82" s="10"/>
      <c r="D82" s="10"/>
      <c r="E82" s="10"/>
      <c r="F82" s="10"/>
      <c r="G82" s="10"/>
      <c r="H82" s="31"/>
      <c r="I82" s="10">
        <f t="shared" si="15"/>
        <v>0</v>
      </c>
      <c r="J82" s="10"/>
      <c r="K82" s="285">
        <f t="shared" si="18"/>
        <v>-1</v>
      </c>
      <c r="L82" s="287">
        <f t="shared" si="16"/>
        <v>-1</v>
      </c>
      <c r="N82" s="143">
        <f t="shared" si="19"/>
        <v>-1676</v>
      </c>
      <c r="O82" s="143">
        <f t="shared" si="17"/>
        <v>-1069</v>
      </c>
      <c r="Q82" s="12">
        <v>1676</v>
      </c>
      <c r="R82" s="10">
        <v>1069</v>
      </c>
    </row>
    <row r="83" spans="1:18" ht="14.9" customHeight="1" x14ac:dyDescent="0.3">
      <c r="A83" t="s">
        <v>21</v>
      </c>
      <c r="B83" s="10"/>
      <c r="C83" s="10"/>
      <c r="D83" s="10"/>
      <c r="E83" s="10"/>
      <c r="F83" s="10"/>
      <c r="G83" s="10"/>
      <c r="H83" s="31"/>
      <c r="I83" s="10">
        <f t="shared" si="15"/>
        <v>0</v>
      </c>
      <c r="J83" s="10"/>
      <c r="K83" s="285">
        <f t="shared" si="18"/>
        <v>-1</v>
      </c>
      <c r="L83" s="287">
        <f t="shared" si="16"/>
        <v>-1</v>
      </c>
      <c r="N83" s="143">
        <f t="shared" si="19"/>
        <v>-1367</v>
      </c>
      <c r="O83" s="143">
        <f t="shared" si="17"/>
        <v>-832</v>
      </c>
      <c r="Q83" s="12">
        <v>1367</v>
      </c>
      <c r="R83" s="10">
        <v>832</v>
      </c>
    </row>
    <row r="84" spans="1:18" ht="14.9" customHeight="1" x14ac:dyDescent="0.3">
      <c r="A84" s="4" t="s">
        <v>22</v>
      </c>
      <c r="B84" s="11"/>
      <c r="C84" s="11"/>
      <c r="D84" s="11"/>
      <c r="E84" s="11"/>
      <c r="F84" s="11"/>
      <c r="G84" s="11"/>
      <c r="H84" s="30"/>
      <c r="I84" s="11">
        <f t="shared" si="15"/>
        <v>0</v>
      </c>
      <c r="J84" s="296"/>
      <c r="K84" s="288">
        <f t="shared" si="18"/>
        <v>-1</v>
      </c>
      <c r="L84" s="289">
        <f t="shared" si="16"/>
        <v>-1</v>
      </c>
      <c r="N84" s="169">
        <f t="shared" si="19"/>
        <v>-1211</v>
      </c>
      <c r="O84" s="169">
        <f t="shared" si="17"/>
        <v>-745</v>
      </c>
      <c r="Q84" s="20">
        <v>1211</v>
      </c>
      <c r="R84" s="11">
        <v>745</v>
      </c>
    </row>
    <row r="85" spans="1:18" ht="14.9" customHeight="1" x14ac:dyDescent="0.3">
      <c r="A85" s="3" t="s">
        <v>137</v>
      </c>
      <c r="B85" s="8">
        <f>SUM(B73:B84)</f>
        <v>12317</v>
      </c>
      <c r="C85" s="8">
        <f t="shared" ref="C85:H85" si="20">SUM(C73:C84)</f>
        <v>6527</v>
      </c>
      <c r="D85" s="8">
        <f t="shared" si="20"/>
        <v>346</v>
      </c>
      <c r="E85" s="8">
        <f t="shared" si="20"/>
        <v>2</v>
      </c>
      <c r="F85" s="8">
        <f t="shared" si="20"/>
        <v>275</v>
      </c>
      <c r="G85" s="8">
        <f t="shared" si="20"/>
        <v>1080</v>
      </c>
      <c r="H85" s="31">
        <f t="shared" si="20"/>
        <v>0</v>
      </c>
      <c r="I85" s="8">
        <f>SUM(I73:I84)</f>
        <v>8230</v>
      </c>
      <c r="J85" s="8">
        <f>SUM(J73:J84)</f>
        <v>5684</v>
      </c>
      <c r="K85" s="285">
        <f>N85/Q85</f>
        <v>-0.46959779519421241</v>
      </c>
      <c r="L85" s="287">
        <f t="shared" si="16"/>
        <v>-0.41866214593487322</v>
      </c>
      <c r="N85" s="143">
        <f>SUM(N73:N84)</f>
        <v>-10905</v>
      </c>
      <c r="O85" s="143">
        <f>SUM(O73:O84)</f>
        <v>-5927</v>
      </c>
      <c r="Q85" s="12">
        <f>SUM(Q73:Q84)</f>
        <v>23222</v>
      </c>
      <c r="R85" s="12">
        <f>SUM(R73:R84)</f>
        <v>14157</v>
      </c>
    </row>
    <row r="86" spans="1:18" ht="14.9" customHeight="1" x14ac:dyDescent="0.3">
      <c r="A86" s="5" t="s">
        <v>131</v>
      </c>
      <c r="B86" s="9">
        <v>23222</v>
      </c>
      <c r="C86" s="9">
        <v>11352</v>
      </c>
      <c r="D86" s="9">
        <v>671</v>
      </c>
      <c r="E86" s="9">
        <v>4</v>
      </c>
      <c r="F86" s="9">
        <v>450</v>
      </c>
      <c r="G86" s="9">
        <v>1680</v>
      </c>
      <c r="H86" s="9">
        <v>11</v>
      </c>
      <c r="I86" s="9">
        <v>14157</v>
      </c>
      <c r="J86" s="9">
        <v>10358</v>
      </c>
      <c r="K86" s="47">
        <v>-8.1731969054155224E-2</v>
      </c>
      <c r="L86" s="120">
        <v>-7.227063044592516E-2</v>
      </c>
    </row>
    <row r="87" spans="1:18" ht="14.9" customHeight="1" x14ac:dyDescent="0.3">
      <c r="A87" s="5" t="s">
        <v>23</v>
      </c>
      <c r="B87" s="9">
        <f t="shared" ref="B87:J87" si="21">B85-B86</f>
        <v>-10905</v>
      </c>
      <c r="C87" s="9">
        <f t="shared" si="21"/>
        <v>-4825</v>
      </c>
      <c r="D87" s="9">
        <f t="shared" si="21"/>
        <v>-325</v>
      </c>
      <c r="E87" s="9">
        <f t="shared" si="21"/>
        <v>-2</v>
      </c>
      <c r="F87" s="9">
        <f t="shared" si="21"/>
        <v>-175</v>
      </c>
      <c r="G87" s="9">
        <f t="shared" si="21"/>
        <v>-600</v>
      </c>
      <c r="H87" s="30">
        <f t="shared" si="21"/>
        <v>-11</v>
      </c>
      <c r="I87" s="9">
        <f t="shared" si="21"/>
        <v>-5927</v>
      </c>
      <c r="J87" s="9">
        <f t="shared" si="21"/>
        <v>-4674</v>
      </c>
      <c r="K87" s="19"/>
      <c r="L87" s="121"/>
    </row>
    <row r="88" spans="1:18" ht="14.9" customHeight="1"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20</vt:i4>
      </vt:variant>
    </vt:vector>
  </HeadingPairs>
  <TitlesOfParts>
    <vt:vector size="20" baseType="lpstr">
      <vt:lpstr>Asterholma</vt:lpstr>
      <vt:lpstr>Björkö</vt:lpstr>
      <vt:lpstr>Brändö Kumlinge, ny Sep-19</vt:lpstr>
      <vt:lpstr>Brändö-Osnäs</vt:lpstr>
      <vt:lpstr>Embarsund</vt:lpstr>
      <vt:lpstr>Enklinge</vt:lpstr>
      <vt:lpstr>Föglö</vt:lpstr>
      <vt:lpstr> Norra</vt:lpstr>
      <vt:lpstr>Seglinge</vt:lpstr>
      <vt:lpstr>Simskäla</vt:lpstr>
      <vt:lpstr> Södra special</vt:lpstr>
      <vt:lpstr> Södra tot.</vt:lpstr>
      <vt:lpstr>Tvärgående</vt:lpstr>
      <vt:lpstr>Töftö</vt:lpstr>
      <vt:lpstr>Åva-Jurmo</vt:lpstr>
      <vt:lpstr>Ängösund</vt:lpstr>
      <vt:lpstr>Trafik per månad</vt:lpstr>
      <vt:lpstr>PassFord.</vt:lpstr>
      <vt:lpstr>Olik. ford.typ.</vt:lpstr>
      <vt:lpstr>Inres.Åland</vt:lpstr>
    </vt:vector>
  </TitlesOfParts>
  <Manager>Christine Leppänen</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Fordonstyper 2016</dc:title>
  <dc:subject>Statistik för frigående och linstyrda skärgårdsfärjor</dc:subject>
  <dc:creator>Kaj Forss</dc:creator>
  <cp:keywords>STATISTIK</cp:keywords>
  <cp:lastModifiedBy>Per Ringsby</cp:lastModifiedBy>
  <cp:lastPrinted>2018-10-23T13:19:07Z</cp:lastPrinted>
  <dcterms:created xsi:type="dcterms:W3CDTF">1998-03-19T07:53:26Z</dcterms:created>
  <dcterms:modified xsi:type="dcterms:W3CDTF">2020-08-13T12:37:51Z</dcterms:modified>
</cp:coreProperties>
</file>